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24000" windowHeight="9735"/>
  </bookViews>
  <sheets>
    <sheet name="قائمة الدخل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O86" i="1"/>
  <c r="N86" i="1"/>
  <c r="I86" i="1"/>
  <c r="H86" i="1"/>
  <c r="D84" i="1"/>
  <c r="O79" i="1"/>
  <c r="N79" i="1"/>
  <c r="M79" i="1"/>
  <c r="K78" i="1"/>
  <c r="K82" i="1" s="1"/>
  <c r="K84" i="1" s="1"/>
  <c r="J78" i="1"/>
  <c r="J82" i="1" s="1"/>
  <c r="J84" i="1" s="1"/>
  <c r="E78" i="1"/>
  <c r="E82" i="1" s="1"/>
  <c r="E84" i="1" s="1"/>
  <c r="D78" i="1"/>
  <c r="D82" i="1" s="1"/>
  <c r="O77" i="1"/>
  <c r="L77" i="1"/>
  <c r="L78" i="1" s="1"/>
  <c r="L82" i="1" s="1"/>
  <c r="L84" i="1" s="1"/>
  <c r="K77" i="1"/>
  <c r="J77" i="1"/>
  <c r="I77" i="1"/>
  <c r="H77" i="1"/>
  <c r="G77" i="1"/>
  <c r="G78" i="1" s="1"/>
  <c r="F77" i="1"/>
  <c r="F78" i="1" s="1"/>
  <c r="F82" i="1" s="1"/>
  <c r="F84" i="1" s="1"/>
  <c r="E77" i="1"/>
  <c r="D77" i="1"/>
  <c r="C77" i="1"/>
  <c r="N76" i="1"/>
  <c r="N77" i="1" s="1"/>
  <c r="M76" i="1"/>
  <c r="M77" i="1" s="1"/>
  <c r="O73" i="1"/>
  <c r="N66" i="1"/>
  <c r="M66" i="1"/>
  <c r="B66" i="1"/>
  <c r="B77" i="1" s="1"/>
  <c r="O64" i="1"/>
  <c r="O78" i="1" s="1"/>
  <c r="O82" i="1" s="1"/>
  <c r="O84" i="1" s="1"/>
  <c r="N64" i="1"/>
  <c r="N78" i="1" s="1"/>
  <c r="N82" i="1" s="1"/>
  <c r="N84" i="1" s="1"/>
  <c r="L64" i="1"/>
  <c r="K64" i="1"/>
  <c r="J64" i="1"/>
  <c r="I64" i="1"/>
  <c r="I78" i="1" s="1"/>
  <c r="I82" i="1" s="1"/>
  <c r="I84" i="1" s="1"/>
  <c r="H64" i="1"/>
  <c r="H78" i="1" s="1"/>
  <c r="H82" i="1" s="1"/>
  <c r="H84" i="1" s="1"/>
  <c r="G64" i="1"/>
  <c r="F64" i="1"/>
  <c r="E64" i="1"/>
  <c r="D64" i="1"/>
  <c r="C64" i="1"/>
  <c r="C78" i="1" s="1"/>
  <c r="C82" i="1" s="1"/>
  <c r="C84" i="1" s="1"/>
  <c r="B64" i="1"/>
  <c r="B78" i="1" s="1"/>
  <c r="B82" i="1" s="1"/>
  <c r="M63" i="1"/>
  <c r="M64" i="1" s="1"/>
  <c r="O49" i="1"/>
  <c r="I49" i="1"/>
  <c r="H49" i="1"/>
  <c r="E49" i="1"/>
  <c r="D49" i="1"/>
  <c r="D51" i="1" s="1"/>
  <c r="N48" i="1"/>
  <c r="M48" i="1"/>
  <c r="O42" i="1"/>
  <c r="I42" i="1"/>
  <c r="H42" i="1"/>
  <c r="G42" i="1"/>
  <c r="G49" i="1" s="1"/>
  <c r="F42" i="1"/>
  <c r="F49" i="1" s="1"/>
  <c r="E42" i="1"/>
  <c r="D42" i="1"/>
  <c r="O39" i="1"/>
  <c r="J39" i="1"/>
  <c r="I39" i="1"/>
  <c r="D39" i="1"/>
  <c r="K28" i="1"/>
  <c r="K39" i="1" s="1"/>
  <c r="G28" i="1"/>
  <c r="G39" i="1" s="1"/>
  <c r="E28" i="1"/>
  <c r="E39" i="1" s="1"/>
  <c r="O26" i="1"/>
  <c r="O28" i="1" s="1"/>
  <c r="N26" i="1"/>
  <c r="N28" i="1" s="1"/>
  <c r="N39" i="1" s="1"/>
  <c r="M26" i="1"/>
  <c r="M28" i="1" s="1"/>
  <c r="M39" i="1" s="1"/>
  <c r="L26" i="1"/>
  <c r="L28" i="1" s="1"/>
  <c r="L39" i="1" s="1"/>
  <c r="K26" i="1"/>
  <c r="J26" i="1"/>
  <c r="J28" i="1" s="1"/>
  <c r="I26" i="1"/>
  <c r="I28" i="1" s="1"/>
  <c r="H26" i="1"/>
  <c r="H28" i="1" s="1"/>
  <c r="H39" i="1" s="1"/>
  <c r="G26" i="1"/>
  <c r="F26" i="1"/>
  <c r="F28" i="1" s="1"/>
  <c r="F39" i="1" s="1"/>
  <c r="E26" i="1"/>
  <c r="C24" i="1"/>
  <c r="C26" i="1" s="1"/>
  <c r="C28" i="1" s="1"/>
  <c r="C39" i="1" s="1"/>
  <c r="C40" i="1" s="1"/>
  <c r="C42" i="1" s="1"/>
  <c r="C49" i="1" s="1"/>
  <c r="C51" i="1" s="1"/>
  <c r="B24" i="1"/>
  <c r="B26" i="1" s="1"/>
  <c r="B28" i="1" s="1"/>
  <c r="B39" i="1" s="1"/>
  <c r="B40" i="1" s="1"/>
  <c r="B42" i="1" s="1"/>
  <c r="B49" i="1" s="1"/>
  <c r="B51" i="1" s="1"/>
  <c r="N22" i="1"/>
  <c r="N40" i="1" s="1"/>
  <c r="N42" i="1" s="1"/>
  <c r="N49" i="1" s="1"/>
  <c r="I22" i="1"/>
  <c r="C22" i="1"/>
  <c r="B22" i="1"/>
  <c r="C15" i="1"/>
  <c r="E11" i="1"/>
  <c r="E22" i="1" s="1"/>
  <c r="D11" i="1"/>
  <c r="D22" i="1" s="1"/>
  <c r="N10" i="1"/>
  <c r="M10" i="1"/>
  <c r="N9" i="1"/>
  <c r="N11" i="1" s="1"/>
  <c r="M9" i="1"/>
  <c r="M11" i="1" s="1"/>
  <c r="M22" i="1" s="1"/>
  <c r="M40" i="1" s="1"/>
  <c r="M42" i="1" s="1"/>
  <c r="M49" i="1" s="1"/>
  <c r="I9" i="1"/>
  <c r="I11" i="1" s="1"/>
  <c r="H9" i="1"/>
  <c r="H11" i="1" s="1"/>
  <c r="H22" i="1" s="1"/>
  <c r="G9" i="1"/>
  <c r="G11" i="1" s="1"/>
  <c r="G22" i="1" s="1"/>
  <c r="C9" i="1"/>
  <c r="C11" i="1" s="1"/>
  <c r="B9" i="1"/>
  <c r="B11" i="1" s="1"/>
  <c r="O8" i="1"/>
  <c r="N8" i="1"/>
  <c r="M8" i="1"/>
  <c r="L8" i="1"/>
  <c r="L9" i="1" s="1"/>
  <c r="L11" i="1" s="1"/>
  <c r="L22" i="1" s="1"/>
  <c r="K8" i="1"/>
  <c r="K9" i="1" s="1"/>
  <c r="K11" i="1" s="1"/>
  <c r="K22" i="1" s="1"/>
  <c r="K40" i="1" s="1"/>
  <c r="K42" i="1" s="1"/>
  <c r="K49" i="1" s="1"/>
  <c r="J8" i="1"/>
  <c r="J9" i="1" s="1"/>
  <c r="J11" i="1" s="1"/>
  <c r="J22" i="1" s="1"/>
  <c r="J40" i="1" s="1"/>
  <c r="J42" i="1" s="1"/>
  <c r="J49" i="1" s="1"/>
  <c r="I8" i="1"/>
  <c r="H8" i="1"/>
  <c r="G8" i="1"/>
  <c r="F8" i="1"/>
  <c r="F9" i="1" s="1"/>
  <c r="F11" i="1" s="1"/>
  <c r="F22" i="1" s="1"/>
  <c r="E8" i="1"/>
  <c r="E9" i="1" s="1"/>
  <c r="D8" i="1"/>
  <c r="D9" i="1" s="1"/>
  <c r="O7" i="1"/>
  <c r="L40" i="1" l="1"/>
  <c r="L42" i="1" s="1"/>
  <c r="L49" i="1" s="1"/>
  <c r="M78" i="1"/>
  <c r="M82" i="1" s="1"/>
  <c r="M84" i="1" s="1"/>
  <c r="B86" i="1"/>
  <c r="B84" i="1"/>
</calcChain>
</file>

<file path=xl/comments1.xml><?xml version="1.0" encoding="utf-8"?>
<comments xmlns="http://schemas.openxmlformats.org/spreadsheetml/2006/main">
  <authors>
    <author>Author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تم إضافته لعدم وجود حقل خاص به</t>
        </r>
      </text>
    </comment>
  </commentList>
</comments>
</file>

<file path=xl/sharedStrings.xml><?xml version="1.0" encoding="utf-8"?>
<sst xmlns="http://schemas.openxmlformats.org/spreadsheetml/2006/main" count="411" uniqueCount="123">
  <si>
    <t>شركة العقيلة للتأمين التكافلي</t>
  </si>
  <si>
    <t xml:space="preserve">قائمة الدخل </t>
  </si>
  <si>
    <t>Statement of Income</t>
  </si>
  <si>
    <t>البيان</t>
  </si>
  <si>
    <t>عن الفترة من 28/12/2006 ولغاية 31/12/2007</t>
  </si>
  <si>
    <t>العائد لحملة الوثائق</t>
  </si>
  <si>
    <t>الإيرادات:</t>
  </si>
  <si>
    <t>Revenues</t>
  </si>
  <si>
    <t>إجمالي أقساط التأمين المكتتبة</t>
  </si>
  <si>
    <t>GROSS PREM.</t>
  </si>
  <si>
    <t>يخصم: حصة معيدي التأمين من إجمالي الأقساط المكتتب بها</t>
  </si>
  <si>
    <t>CEDING - Prem.</t>
  </si>
  <si>
    <t xml:space="preserve">  صافي أقساط التأمين المكتتب بها</t>
  </si>
  <si>
    <t>NET PREM.</t>
  </si>
  <si>
    <t>صافي التغير في احتياطي أقساط غير مكتسبة</t>
  </si>
  <si>
    <t>-</t>
  </si>
  <si>
    <t>Net change in Technical and Mathematical Reserve</t>
  </si>
  <si>
    <t xml:space="preserve">صافي أقساط التأمين  </t>
  </si>
  <si>
    <t>Vet insurance Prem.</t>
  </si>
  <si>
    <t>يضاف: عمولات مقبوضة</t>
  </si>
  <si>
    <t>REINS. COMM. Recived</t>
  </si>
  <si>
    <t>مرابحة الودائع المصرفية</t>
  </si>
  <si>
    <t>توزيعات ارباح اسهم نقدية</t>
  </si>
  <si>
    <t>أرباح بيع استثمارات مالية من خلال بيان الدخل الشامل الأخر</t>
  </si>
  <si>
    <t>استرداد مخصص خسائر ائتمانية</t>
  </si>
  <si>
    <t>استرداد مخصص ديون مشكوك في تحصيلها</t>
  </si>
  <si>
    <t>ايرادات أخرى</t>
  </si>
  <si>
    <t>فروقات أسعار صرف غير محققة لحملة الوثائق</t>
  </si>
  <si>
    <t>فروقات أسعار صرف محققة لحملة الوثائق</t>
  </si>
  <si>
    <t>قرض حسن لحملة الوثائق</t>
  </si>
  <si>
    <t xml:space="preserve">إجمالي الإيرادات </t>
  </si>
  <si>
    <t>Total Revenues</t>
  </si>
  <si>
    <t>مصاريف التأمين:</t>
  </si>
  <si>
    <t>Expenses</t>
  </si>
  <si>
    <t>صافي المطالبات المدفوعة</t>
  </si>
  <si>
    <t>Net PAID CLAIMS</t>
  </si>
  <si>
    <t>حصة معيدي التأمين من إجمالي المطالبات المدفوعة</t>
  </si>
  <si>
    <t>صافي التغير في التزامات عقود التأمين</t>
  </si>
  <si>
    <t>Net change in insurance contract liabilities</t>
  </si>
  <si>
    <t>صافي المطالبات</t>
  </si>
  <si>
    <t>عمولات مدفوعة</t>
  </si>
  <si>
    <t>Commissions  PAYABLE</t>
  </si>
  <si>
    <t>مصروفات كشف وخبراء</t>
  </si>
  <si>
    <t>Detect ,experts and other expenses</t>
  </si>
  <si>
    <t>مصاريف اتفاقيات فائض الخسارة</t>
  </si>
  <si>
    <t>Excess of loss premium</t>
  </si>
  <si>
    <t>مخصص ديون مشكوك بتحصيلها</t>
  </si>
  <si>
    <t>استرداد مخصص خسائر ائتمانية متوقعة (مصروف)</t>
  </si>
  <si>
    <t>نصيب حملة  الوثائق من المصروفات الإدارية والعمومية</t>
  </si>
  <si>
    <t>اتعاب مهنية حملة</t>
  </si>
  <si>
    <t>رسوم هيئة الإشراف على التأمين</t>
  </si>
  <si>
    <t>SISC FEES</t>
  </si>
  <si>
    <t>مجموع المصاريف</t>
  </si>
  <si>
    <t>The cost of claims and excess of loss</t>
  </si>
  <si>
    <t xml:space="preserve">صافي فائض النشاط التأميني </t>
  </si>
  <si>
    <t>Net underwriting surplus</t>
  </si>
  <si>
    <t>نصيب المساهمين من الفائض التأميني لحملة الوثائق</t>
  </si>
  <si>
    <t>صافي فائض حقوق حملة الوثائق قبل الضريبة</t>
  </si>
  <si>
    <t>ضريبة دخل حملة الوثائق</t>
  </si>
  <si>
    <t xml:space="preserve">أرباح مرابحة </t>
  </si>
  <si>
    <t>Murabaha deposits</t>
  </si>
  <si>
    <t>مكاسب غير محققة ناتجة عن تغيرات أسعار الصرف</t>
  </si>
  <si>
    <t>Unrealized Gains &amp; Losses -Policyholders</t>
  </si>
  <si>
    <t>أرباح فروقات أسعار الصرف</t>
  </si>
  <si>
    <t>Realized Gains &amp; Losses -Policyholders</t>
  </si>
  <si>
    <t>Provision for doubtful debt</t>
  </si>
  <si>
    <t xml:space="preserve">Policyholders share of administrative&amp; General expenses </t>
  </si>
  <si>
    <t>صافي فائض حقوق حملة الوثائق للسنة</t>
  </si>
  <si>
    <t>Excess for the year</t>
  </si>
  <si>
    <t>صافي التغير في إعادة تقييم الاستثمارات المتاحة للبيع</t>
  </si>
  <si>
    <t xml:space="preserve">Net change in revaluation of investments available for sale </t>
  </si>
  <si>
    <t>الدخل الشامل للسنة (حملة الوثائق)</t>
  </si>
  <si>
    <t>Total comprehensive income (Policyholders)</t>
  </si>
  <si>
    <t>العائد للمساهمين</t>
  </si>
  <si>
    <t>Return to shareholders</t>
  </si>
  <si>
    <t xml:space="preserve">investment deposits Income </t>
  </si>
  <si>
    <t>توزيعات أرباح أسهم نقدية</t>
  </si>
  <si>
    <t>Dividend cash dividend</t>
  </si>
  <si>
    <t>Sale of financial investments available for sale profits</t>
  </si>
  <si>
    <t>ايرادات بيع أصول ثابتة</t>
  </si>
  <si>
    <t>Sale of fixed assets of financial profit</t>
  </si>
  <si>
    <t>عكس الانخفاض في الاستثمارات العقارية</t>
  </si>
  <si>
    <t xml:space="preserve">Provision for doubtful debts Recavery </t>
  </si>
  <si>
    <t>استرداد مخصص مقابل قرض حسن لحملة الوثائق</t>
  </si>
  <si>
    <t>Intrest Fees loan To policyholders</t>
  </si>
  <si>
    <t>قروقات أسعار صرف غير محققة للمساهمين</t>
  </si>
  <si>
    <t>أرباح فروقات أسعار الصرف و ايرادات أخرى</t>
  </si>
  <si>
    <t>Unrealized Gains &amp; Losses -Shareholders</t>
  </si>
  <si>
    <t>مجموع الإيرادات</t>
  </si>
  <si>
    <t>المصاريف:</t>
  </si>
  <si>
    <t>نصيب المساهمين من المصروفات الإدارية والعمومية</t>
  </si>
  <si>
    <t xml:space="preserve">Shareholders share of administrative&amp; General expenses </t>
  </si>
  <si>
    <t>فروقات أسعار صرف محققة</t>
  </si>
  <si>
    <t>Exchange differences losses</t>
  </si>
  <si>
    <t>مخصص ديون مشكوك في تحصيلها</t>
  </si>
  <si>
    <t>فروقات أسعار صرف غير محققة</t>
  </si>
  <si>
    <t>أتعاب مهنية</t>
  </si>
  <si>
    <t>خسائر الانخفاض في القيمة الأصول المتاحة للبيع</t>
  </si>
  <si>
    <t xml:space="preserve">Impairment losses on assets available for sale </t>
  </si>
  <si>
    <t xml:space="preserve">خسائر الإنخفاض في القيمةالإستثمارات العقارية </t>
  </si>
  <si>
    <t>Impairment  on real estate investments</t>
  </si>
  <si>
    <t>مصروفات تأسيس</t>
  </si>
  <si>
    <t>Establishment expenses</t>
  </si>
  <si>
    <t>عكس الانخفاض / (الانخفاض) في قيمة استثمارات عقارية</t>
  </si>
  <si>
    <t>خسائر ائتمانية متوقعة</t>
  </si>
  <si>
    <t>مخصص مقابل قرض لصندوق حاملي الوثائق</t>
  </si>
  <si>
    <t>مجموع المصايف</t>
  </si>
  <si>
    <t>أرباح (خسائر) العام قبل الضريبة</t>
  </si>
  <si>
    <t>Profit (loss)  before tax</t>
  </si>
  <si>
    <t>ضريبة الدخل</t>
  </si>
  <si>
    <t>Income Tax</t>
  </si>
  <si>
    <t>استردادات ضريبية عن أعوام سابقة</t>
  </si>
  <si>
    <t>فروقات ضريبة دخل عن أعوام سابقة</t>
  </si>
  <si>
    <t>Differences in income tax for previous years</t>
  </si>
  <si>
    <t xml:space="preserve">صافي أرباح ( خسائر ) السنة </t>
  </si>
  <si>
    <t>Net profit (loss) for the year</t>
  </si>
  <si>
    <t>الدخل الشامل للسنة</t>
  </si>
  <si>
    <t>Total comprehensive income</t>
  </si>
  <si>
    <t>عائد السهم (ل.س)*</t>
  </si>
  <si>
    <t>Earnings Per Share (SP)*</t>
  </si>
  <si>
    <t>تم تعديل عائد السهم للسنوات السابقة بناء على عملية التجزئة التي تمت على سهم الشركة بتاريخ 13/8/2012 لتصبح قيمة السهم 100 ل.س بدلاً من 500 ل.س</t>
  </si>
  <si>
    <t xml:space="preserve">The earnings per share have been adjusted for the previous years based on the split process on 13/8/2012 </t>
  </si>
  <si>
    <t xml:space="preserve">that modified the nominal valueper share from 500 SP to 100 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</si>
</sst>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 ;\-#,##0\ "/>
    <numFmt numFmtId="166" formatCode="_(* #,##0.00_);_(* \(#,##0.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u val="singleAccounting"/>
      <sz val="13"/>
      <color theme="0"/>
      <name val="Arabic Transparent"/>
      <charset val="178"/>
    </font>
    <font>
      <sz val="12"/>
      <color rgb="FF222222"/>
      <name val="Arial"/>
      <family val="2"/>
    </font>
    <font>
      <b/>
      <u val="singleAccounting"/>
      <sz val="13"/>
      <color theme="1"/>
      <name val="Arabic Transparent"/>
      <charset val="178"/>
    </font>
    <font>
      <sz val="13"/>
      <name val="Arabic Transparent"/>
      <charset val="178"/>
    </font>
    <font>
      <b/>
      <u/>
      <sz val="12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/>
    </xf>
    <xf numFmtId="43" fontId="4" fillId="0" borderId="3" xfId="1" applyFont="1" applyFill="1" applyBorder="1"/>
    <xf numFmtId="164" fontId="8" fillId="0" borderId="3" xfId="1" applyNumberFormat="1" applyFont="1" applyFill="1" applyBorder="1" applyAlignment="1">
      <alignment horizontal="right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4" fillId="0" borderId="3" xfId="0" applyFont="1" applyFill="1" applyBorder="1"/>
    <xf numFmtId="164" fontId="4" fillId="0" borderId="3" xfId="1" applyNumberFormat="1" applyFont="1" applyFill="1" applyBorder="1"/>
    <xf numFmtId="164" fontId="4" fillId="0" borderId="3" xfId="1" applyNumberFormat="1" applyFont="1" applyFill="1" applyBorder="1" applyAlignment="1"/>
    <xf numFmtId="41" fontId="4" fillId="0" borderId="3" xfId="2" applyFont="1" applyFill="1" applyBorder="1" applyAlignment="1">
      <alignment horizontal="center"/>
    </xf>
    <xf numFmtId="41" fontId="4" fillId="0" borderId="3" xfId="2" applyFont="1" applyFill="1" applyBorder="1"/>
    <xf numFmtId="41" fontId="9" fillId="0" borderId="3" xfId="2" applyFont="1" applyFill="1" applyBorder="1"/>
    <xf numFmtId="43" fontId="9" fillId="0" borderId="3" xfId="1" applyFont="1" applyFill="1" applyBorder="1"/>
    <xf numFmtId="164" fontId="9" fillId="0" borderId="3" xfId="1" applyNumberFormat="1" applyFont="1" applyFill="1" applyBorder="1"/>
    <xf numFmtId="41" fontId="9" fillId="0" borderId="3" xfId="2" applyFont="1" applyFill="1" applyBorder="1" applyAlignment="1"/>
    <xf numFmtId="41" fontId="9" fillId="0" borderId="3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41" fontId="6" fillId="3" borderId="3" xfId="0" applyNumberFormat="1" applyFont="1" applyFill="1" applyBorder="1" applyAlignment="1"/>
    <xf numFmtId="41" fontId="6" fillId="3" borderId="3" xfId="0" applyNumberFormat="1" applyFont="1" applyFill="1" applyBorder="1"/>
    <xf numFmtId="41" fontId="6" fillId="3" borderId="3" xfId="2" applyFont="1" applyFill="1" applyBorder="1"/>
    <xf numFmtId="41" fontId="6" fillId="3" borderId="3" xfId="2" applyFont="1" applyFill="1" applyBorder="1" applyAlignment="1">
      <alignment horizontal="right"/>
    </xf>
    <xf numFmtId="41" fontId="9" fillId="4" borderId="3" xfId="2" applyFont="1" applyFill="1" applyBorder="1"/>
    <xf numFmtId="41" fontId="9" fillId="0" borderId="3" xfId="2" applyFont="1" applyFill="1" applyBorder="1" applyAlignment="1">
      <alignment horizontal="right"/>
    </xf>
    <xf numFmtId="41" fontId="10" fillId="3" borderId="3" xfId="2" applyFont="1" applyFill="1" applyBorder="1"/>
    <xf numFmtId="0" fontId="4" fillId="0" borderId="3" xfId="0" applyFont="1" applyFill="1" applyBorder="1" applyAlignment="1"/>
    <xf numFmtId="41" fontId="4" fillId="0" borderId="3" xfId="2" applyFont="1" applyFill="1" applyBorder="1" applyAlignment="1">
      <alignment horizontal="right"/>
    </xf>
    <xf numFmtId="0" fontId="11" fillId="0" borderId="3" xfId="0" applyFont="1" applyFill="1" applyBorder="1" applyAlignment="1"/>
    <xf numFmtId="164" fontId="4" fillId="0" borderId="4" xfId="1" applyNumberFormat="1" applyFont="1" applyFill="1" applyBorder="1"/>
    <xf numFmtId="41" fontId="9" fillId="5" borderId="3" xfId="2" applyFont="1" applyFill="1" applyBorder="1"/>
    <xf numFmtId="43" fontId="4" fillId="5" borderId="0" xfId="1" applyFont="1" applyFill="1"/>
    <xf numFmtId="164" fontId="4" fillId="5" borderId="5" xfId="1" applyNumberFormat="1" applyFont="1" applyFill="1" applyBorder="1"/>
    <xf numFmtId="164" fontId="9" fillId="5" borderId="3" xfId="1" applyNumberFormat="1" applyFont="1" applyFill="1" applyBorder="1"/>
    <xf numFmtId="41" fontId="9" fillId="5" borderId="3" xfId="2" applyFont="1" applyFill="1" applyBorder="1" applyAlignment="1"/>
    <xf numFmtId="41" fontId="9" fillId="5" borderId="3" xfId="2" applyFont="1" applyFill="1" applyBorder="1" applyAlignment="1">
      <alignment horizontal="center"/>
    </xf>
    <xf numFmtId="41" fontId="9" fillId="5" borderId="3" xfId="2" applyFont="1" applyFill="1" applyBorder="1" applyAlignment="1">
      <alignment horizontal="right"/>
    </xf>
    <xf numFmtId="0" fontId="11" fillId="5" borderId="3" xfId="0" applyFont="1" applyFill="1" applyBorder="1" applyAlignment="1"/>
    <xf numFmtId="0" fontId="4" fillId="5" borderId="0" xfId="0" applyFont="1" applyFill="1"/>
    <xf numFmtId="41" fontId="6" fillId="3" borderId="6" xfId="0" applyNumberFormat="1" applyFont="1" applyFill="1" applyBorder="1" applyAlignment="1"/>
    <xf numFmtId="165" fontId="3" fillId="0" borderId="3" xfId="0" applyNumberFormat="1" applyFont="1" applyFill="1" applyBorder="1"/>
    <xf numFmtId="41" fontId="3" fillId="0" borderId="3" xfId="2" applyFont="1" applyFill="1" applyBorder="1"/>
    <xf numFmtId="41" fontId="4" fillId="0" borderId="3" xfId="2" applyFont="1" applyFill="1" applyBorder="1" applyAlignment="1"/>
    <xf numFmtId="41" fontId="3" fillId="0" borderId="3" xfId="2" applyFont="1" applyFill="1" applyBorder="1" applyAlignment="1">
      <alignment horizontal="right"/>
    </xf>
    <xf numFmtId="0" fontId="3" fillId="0" borderId="3" xfId="0" applyFont="1" applyFill="1" applyBorder="1"/>
    <xf numFmtId="164" fontId="3" fillId="0" borderId="3" xfId="1" applyNumberFormat="1" applyFont="1" applyFill="1" applyBorder="1"/>
    <xf numFmtId="164" fontId="3" fillId="0" borderId="3" xfId="0" applyNumberFormat="1" applyFont="1" applyFill="1" applyBorder="1"/>
    <xf numFmtId="0" fontId="4" fillId="6" borderId="3" xfId="0" applyFont="1" applyFill="1" applyBorder="1"/>
    <xf numFmtId="164" fontId="4" fillId="6" borderId="3" xfId="1" applyNumberFormat="1" applyFont="1" applyFill="1" applyBorder="1"/>
    <xf numFmtId="41" fontId="4" fillId="6" borderId="3" xfId="2" applyFont="1" applyFill="1" applyBorder="1" applyAlignment="1"/>
    <xf numFmtId="41" fontId="4" fillId="6" borderId="3" xfId="2" applyFont="1" applyFill="1" applyBorder="1" applyAlignment="1">
      <alignment horizontal="center"/>
    </xf>
    <xf numFmtId="41" fontId="4" fillId="6" borderId="3" xfId="2" applyFont="1" applyFill="1" applyBorder="1"/>
    <xf numFmtId="41" fontId="3" fillId="6" borderId="3" xfId="2" applyFont="1" applyFill="1" applyBorder="1" applyAlignment="1">
      <alignment horizontal="right"/>
    </xf>
    <xf numFmtId="0" fontId="11" fillId="6" borderId="3" xfId="0" applyFont="1" applyFill="1" applyBorder="1" applyAlignment="1"/>
    <xf numFmtId="0" fontId="4" fillId="6" borderId="0" xfId="0" applyFont="1" applyFill="1"/>
    <xf numFmtId="0" fontId="4" fillId="5" borderId="3" xfId="0" applyFont="1" applyFill="1" applyBorder="1"/>
    <xf numFmtId="43" fontId="4" fillId="5" borderId="3" xfId="1" applyFont="1" applyFill="1" applyBorder="1"/>
    <xf numFmtId="164" fontId="4" fillId="5" borderId="3" xfId="1" applyNumberFormat="1" applyFont="1" applyFill="1" applyBorder="1"/>
    <xf numFmtId="41" fontId="4" fillId="5" borderId="3" xfId="2" applyFont="1" applyFill="1" applyBorder="1" applyAlignment="1"/>
    <xf numFmtId="41" fontId="4" fillId="5" borderId="3" xfId="2" applyFont="1" applyFill="1" applyBorder="1" applyAlignment="1">
      <alignment horizontal="center"/>
    </xf>
    <xf numFmtId="41" fontId="4" fillId="5" borderId="3" xfId="2" applyFont="1" applyFill="1" applyBorder="1" applyAlignment="1">
      <alignment horizontal="right"/>
    </xf>
    <xf numFmtId="41" fontId="4" fillId="5" borderId="3" xfId="2" applyFont="1" applyFill="1" applyBorder="1"/>
    <xf numFmtId="43" fontId="4" fillId="0" borderId="3" xfId="1" applyFont="1" applyFill="1" applyBorder="1" applyAlignment="1">
      <alignment horizontal="right"/>
    </xf>
    <xf numFmtId="41" fontId="12" fillId="0" borderId="3" xfId="2" applyFont="1" applyFill="1" applyBorder="1" applyAlignment="1">
      <alignment horizontal="right"/>
    </xf>
    <xf numFmtId="0" fontId="11" fillId="0" borderId="3" xfId="0" applyFont="1" applyFill="1" applyBorder="1" applyAlignment="1">
      <alignment horizontal="left" vertical="center"/>
    </xf>
    <xf numFmtId="164" fontId="6" fillId="3" borderId="3" xfId="1" applyNumberFormat="1" applyFont="1" applyFill="1" applyBorder="1" applyAlignment="1"/>
    <xf numFmtId="0" fontId="13" fillId="0" borderId="3" xfId="0" applyFont="1" applyFill="1" applyBorder="1"/>
    <xf numFmtId="164" fontId="13" fillId="0" borderId="3" xfId="0" applyNumberFormat="1" applyFont="1" applyFill="1" applyBorder="1"/>
    <xf numFmtId="164" fontId="13" fillId="0" borderId="3" xfId="1" applyNumberFormat="1" applyFont="1" applyFill="1" applyBorder="1"/>
    <xf numFmtId="41" fontId="13" fillId="0" borderId="3" xfId="2" applyFont="1" applyFill="1" applyBorder="1" applyAlignment="1">
      <alignment horizontal="right"/>
    </xf>
    <xf numFmtId="41" fontId="13" fillId="4" borderId="3" xfId="2" applyFont="1" applyFill="1" applyBorder="1" applyAlignment="1">
      <alignment horizontal="right"/>
    </xf>
    <xf numFmtId="0" fontId="7" fillId="0" borderId="3" xfId="0" applyFont="1" applyFill="1" applyBorder="1"/>
    <xf numFmtId="164" fontId="4" fillId="0" borderId="3" xfId="1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43" fontId="13" fillId="0" borderId="3" xfId="1" applyFont="1" applyFill="1" applyBorder="1"/>
    <xf numFmtId="0" fontId="13" fillId="0" borderId="3" xfId="0" applyFont="1" applyFill="1" applyBorder="1" applyAlignment="1"/>
    <xf numFmtId="0" fontId="4" fillId="0" borderId="3" xfId="0" applyFont="1" applyFill="1" applyBorder="1" applyAlignment="1">
      <alignment horizontal="right"/>
    </xf>
    <xf numFmtId="41" fontId="4" fillId="4" borderId="3" xfId="2" applyFont="1" applyFill="1" applyBorder="1" applyAlignment="1">
      <alignment horizontal="right"/>
    </xf>
    <xf numFmtId="41" fontId="3" fillId="0" borderId="3" xfId="2" applyFont="1" applyFill="1" applyBorder="1" applyAlignment="1">
      <alignment horizontal="right" vertical="center"/>
    </xf>
    <xf numFmtId="165" fontId="4" fillId="0" borderId="3" xfId="0" applyNumberFormat="1" applyFont="1" applyFill="1" applyBorder="1"/>
    <xf numFmtId="164" fontId="6" fillId="3" borderId="3" xfId="1" applyNumberFormat="1" applyFont="1" applyFill="1" applyBorder="1"/>
    <xf numFmtId="43" fontId="6" fillId="3" borderId="3" xfId="1" applyFont="1" applyFill="1" applyBorder="1"/>
    <xf numFmtId="0" fontId="6" fillId="2" borderId="3" xfId="0" applyFont="1" applyFill="1" applyBorder="1"/>
    <xf numFmtId="0" fontId="14" fillId="0" borderId="3" xfId="0" applyFont="1" applyBorder="1" applyAlignment="1"/>
    <xf numFmtId="165" fontId="9" fillId="0" borderId="3" xfId="0" applyNumberFormat="1" applyFont="1" applyFill="1" applyBorder="1" applyAlignment="1">
      <alignment horizontal="right"/>
    </xf>
    <xf numFmtId="0" fontId="11" fillId="0" borderId="3" xfId="0" applyFont="1" applyBorder="1" applyAlignment="1"/>
    <xf numFmtId="41" fontId="6" fillId="4" borderId="3" xfId="0" applyNumberFormat="1" applyFont="1" applyFill="1" applyBorder="1"/>
    <xf numFmtId="0" fontId="6" fillId="4" borderId="3" xfId="0" applyFont="1" applyFill="1" applyBorder="1"/>
    <xf numFmtId="0" fontId="4" fillId="4" borderId="0" xfId="0" applyFont="1" applyFill="1"/>
    <xf numFmtId="0" fontId="4" fillId="5" borderId="3" xfId="0" applyFont="1" applyFill="1" applyBorder="1" applyAlignment="1"/>
    <xf numFmtId="0" fontId="4" fillId="5" borderId="3" xfId="0" applyFont="1" applyFill="1" applyBorder="1" applyAlignment="1">
      <alignment horizontal="right"/>
    </xf>
    <xf numFmtId="165" fontId="9" fillId="5" borderId="3" xfId="0" applyNumberFormat="1" applyFont="1" applyFill="1" applyBorder="1"/>
    <xf numFmtId="164" fontId="13" fillId="0" borderId="3" xfId="1" applyNumberFormat="1" applyFont="1" applyFill="1" applyBorder="1" applyAlignment="1"/>
    <xf numFmtId="164" fontId="13" fillId="0" borderId="3" xfId="1" applyNumberFormat="1" applyFont="1" applyFill="1" applyBorder="1" applyAlignment="1">
      <alignment horizontal="center"/>
    </xf>
    <xf numFmtId="41" fontId="13" fillId="0" borderId="3" xfId="2" applyFont="1" applyFill="1" applyBorder="1"/>
    <xf numFmtId="0" fontId="11" fillId="0" borderId="3" xfId="0" applyFont="1" applyBorder="1" applyAlignment="1">
      <alignment vertical="center" wrapText="1"/>
    </xf>
    <xf numFmtId="0" fontId="6" fillId="3" borderId="4" xfId="0" applyFont="1" applyFill="1" applyBorder="1"/>
    <xf numFmtId="43" fontId="6" fillId="3" borderId="4" xfId="1" applyFont="1" applyFill="1" applyBorder="1"/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center"/>
    </xf>
    <xf numFmtId="43" fontId="6" fillId="3" borderId="4" xfId="0" applyNumberFormat="1" applyFont="1" applyFill="1" applyBorder="1"/>
    <xf numFmtId="166" fontId="6" fillId="3" borderId="4" xfId="2" applyNumberFormat="1" applyFont="1" applyFill="1" applyBorder="1"/>
    <xf numFmtId="164" fontId="4" fillId="0" borderId="0" xfId="1" applyNumberFormat="1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41" fontId="4" fillId="0" borderId="0" xfId="2" applyFont="1" applyFill="1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Fill="1" applyAlignment="1">
      <alignment horizontal="left"/>
    </xf>
    <xf numFmtId="41" fontId="4" fillId="0" borderId="0" xfId="0" applyNumberFormat="1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0"/>
  <sheetViews>
    <sheetView rightToLeft="1" tabSelected="1" topLeftCell="A56" workbookViewId="0">
      <selection activeCell="C80" sqref="C80"/>
    </sheetView>
  </sheetViews>
  <sheetFormatPr defaultColWidth="9.140625" defaultRowHeight="16.5" x14ac:dyDescent="0.25"/>
  <cols>
    <col min="1" max="1" width="49.7109375" style="6" bestFit="1" customWidth="1"/>
    <col min="2" max="2" width="23.7109375" style="6" customWidth="1"/>
    <col min="3" max="3" width="21.7109375" style="6" bestFit="1" customWidth="1"/>
    <col min="4" max="4" width="23.5703125" style="128" customWidth="1"/>
    <col min="5" max="5" width="19.140625" style="129" customWidth="1"/>
    <col min="6" max="6" width="19.5703125" style="130" bestFit="1" customWidth="1"/>
    <col min="7" max="9" width="18" style="6" bestFit="1" customWidth="1"/>
    <col min="10" max="10" width="17" style="6" bestFit="1" customWidth="1"/>
    <col min="11" max="11" width="18.28515625" style="6" bestFit="1" customWidth="1"/>
    <col min="12" max="13" width="17" style="6" bestFit="1" customWidth="1"/>
    <col min="14" max="14" width="15.7109375" style="6" bestFit="1" customWidth="1"/>
    <col min="15" max="15" width="26" style="6" customWidth="1"/>
    <col min="16" max="16" width="60" style="6" bestFit="1" customWidth="1"/>
    <col min="17" max="16384" width="9.140625" style="6"/>
  </cols>
  <sheetData>
    <row r="1" spans="1:16" ht="18" x14ac:dyDescent="0.25">
      <c r="A1" s="1" t="s">
        <v>0</v>
      </c>
      <c r="B1" s="1"/>
      <c r="C1" s="2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5"/>
    </row>
    <row r="2" spans="1:16" ht="18" x14ac:dyDescent="0.25">
      <c r="A2" s="7" t="s">
        <v>1</v>
      </c>
      <c r="B2" s="7"/>
      <c r="C2" s="7"/>
      <c r="D2" s="8"/>
      <c r="E2" s="9"/>
      <c r="F2" s="10"/>
      <c r="G2" s="7"/>
      <c r="H2" s="7"/>
      <c r="I2" s="7"/>
      <c r="J2" s="7"/>
      <c r="K2" s="7"/>
      <c r="L2" s="7"/>
      <c r="M2" s="7"/>
      <c r="N2" s="7"/>
      <c r="O2" s="7"/>
      <c r="P2" s="11" t="s">
        <v>2</v>
      </c>
    </row>
    <row r="3" spans="1:16" x14ac:dyDescent="0.25">
      <c r="A3" s="12"/>
      <c r="B3" s="12"/>
      <c r="C3" s="12"/>
      <c r="D3" s="13"/>
      <c r="E3" s="2"/>
      <c r="F3" s="4"/>
      <c r="G3" s="12"/>
      <c r="H3" s="12"/>
      <c r="I3" s="4"/>
      <c r="J3" s="4"/>
      <c r="K3" s="4"/>
      <c r="L3" s="4"/>
      <c r="M3" s="14"/>
      <c r="N3" s="14"/>
      <c r="O3" s="5"/>
    </row>
    <row r="4" spans="1:16" ht="33" x14ac:dyDescent="0.25">
      <c r="A4" s="15" t="s">
        <v>3</v>
      </c>
      <c r="B4" s="16">
        <v>2020</v>
      </c>
      <c r="C4" s="16">
        <v>2019</v>
      </c>
      <c r="D4" s="16">
        <v>2018</v>
      </c>
      <c r="E4" s="17">
        <v>2017</v>
      </c>
      <c r="F4" s="16">
        <v>2016</v>
      </c>
      <c r="G4" s="16">
        <v>2015</v>
      </c>
      <c r="H4" s="16">
        <v>2014</v>
      </c>
      <c r="I4" s="16">
        <v>2013</v>
      </c>
      <c r="J4" s="16">
        <v>2012</v>
      </c>
      <c r="K4" s="16">
        <v>2011</v>
      </c>
      <c r="L4" s="16">
        <v>2010</v>
      </c>
      <c r="M4" s="16">
        <v>2009</v>
      </c>
      <c r="N4" s="16">
        <v>2008</v>
      </c>
      <c r="O4" s="16" t="s">
        <v>4</v>
      </c>
      <c r="P4" s="18" t="s">
        <v>2</v>
      </c>
    </row>
    <row r="5" spans="1:16" x14ac:dyDescent="0.25">
      <c r="A5" s="19" t="s">
        <v>5</v>
      </c>
      <c r="B5" s="19"/>
      <c r="C5" s="19"/>
      <c r="D5" s="20"/>
      <c r="E5" s="21"/>
      <c r="F5" s="22"/>
      <c r="G5" s="19"/>
      <c r="H5" s="19"/>
      <c r="I5" s="19"/>
      <c r="J5" s="23"/>
      <c r="K5" s="23"/>
      <c r="L5" s="23"/>
      <c r="M5" s="23"/>
      <c r="N5" s="23"/>
      <c r="O5" s="23"/>
      <c r="P5" s="19"/>
    </row>
    <row r="6" spans="1:16" x14ac:dyDescent="0.25">
      <c r="A6" s="24" t="s">
        <v>6</v>
      </c>
      <c r="B6" s="25"/>
      <c r="C6" s="24"/>
      <c r="D6" s="26"/>
      <c r="E6" s="27"/>
      <c r="F6" s="28"/>
      <c r="G6" s="24"/>
      <c r="H6" s="24"/>
      <c r="I6" s="24"/>
      <c r="J6" s="24"/>
      <c r="K6" s="29"/>
      <c r="L6" s="30"/>
      <c r="M6" s="30"/>
      <c r="N6" s="30"/>
      <c r="O6" s="31"/>
      <c r="P6" s="32" t="s">
        <v>7</v>
      </c>
    </row>
    <row r="7" spans="1:16" x14ac:dyDescent="0.25">
      <c r="A7" s="33" t="s">
        <v>8</v>
      </c>
      <c r="B7" s="25">
        <v>1380694595</v>
      </c>
      <c r="C7" s="33">
        <v>729599728</v>
      </c>
      <c r="D7" s="34">
        <v>1246141715</v>
      </c>
      <c r="E7" s="35">
        <v>558147234</v>
      </c>
      <c r="F7" s="36">
        <v>568567357</v>
      </c>
      <c r="G7" s="37">
        <v>451297833</v>
      </c>
      <c r="H7" s="37">
        <v>357212795</v>
      </c>
      <c r="I7" s="37">
        <v>362170866</v>
      </c>
      <c r="J7" s="37">
        <v>410483952</v>
      </c>
      <c r="K7" s="37">
        <v>617184860</v>
      </c>
      <c r="L7" s="37">
        <v>926648699</v>
      </c>
      <c r="M7" s="37">
        <v>484997445</v>
      </c>
      <c r="N7" s="37">
        <v>14417924</v>
      </c>
      <c r="O7" s="31">
        <f>-O8</f>
        <v>0</v>
      </c>
      <c r="P7" s="33" t="s">
        <v>9</v>
      </c>
    </row>
    <row r="8" spans="1:16" ht="18.75" x14ac:dyDescent="0.4">
      <c r="A8" s="38" t="s">
        <v>10</v>
      </c>
      <c r="B8" s="39">
        <v>-168157611</v>
      </c>
      <c r="C8" s="38">
        <v>-100388206</v>
      </c>
      <c r="D8" s="40">
        <f>-122439794-10057770</f>
        <v>-132497564</v>
      </c>
      <c r="E8" s="41">
        <f>-84876279-10126635</f>
        <v>-95002914</v>
      </c>
      <c r="F8" s="42">
        <f>-59630657-11010870</f>
        <v>-70641527</v>
      </c>
      <c r="G8" s="38">
        <f>-57624062-9401399</f>
        <v>-67025461</v>
      </c>
      <c r="H8" s="38">
        <f>-34505704-10306316</f>
        <v>-44812020</v>
      </c>
      <c r="I8" s="38">
        <f>-93211558-12761850</f>
        <v>-105973408</v>
      </c>
      <c r="J8" s="38">
        <f>-107284766-18615000</f>
        <v>-125899766</v>
      </c>
      <c r="K8" s="38">
        <f>-160364853-19409876</f>
        <v>-179774729</v>
      </c>
      <c r="L8" s="38">
        <f>-283685073-14439697</f>
        <v>-298124770</v>
      </c>
      <c r="M8" s="38">
        <f>-107499287-9141882</f>
        <v>-116641169</v>
      </c>
      <c r="N8" s="38">
        <f>-7375031-3227413</f>
        <v>-10602444</v>
      </c>
      <c r="O8" s="31">
        <f>-O9</f>
        <v>0</v>
      </c>
      <c r="P8" s="43" t="s">
        <v>11</v>
      </c>
    </row>
    <row r="9" spans="1:16" x14ac:dyDescent="0.25">
      <c r="A9" s="44" t="s">
        <v>12</v>
      </c>
      <c r="B9" s="45">
        <f t="shared" ref="B9:N9" si="0">SUM(B7:B8)</f>
        <v>1212536984</v>
      </c>
      <c r="C9" s="45">
        <f t="shared" si="0"/>
        <v>629211522</v>
      </c>
      <c r="D9" s="45">
        <f t="shared" si="0"/>
        <v>1113644151</v>
      </c>
      <c r="E9" s="45">
        <f t="shared" si="0"/>
        <v>463144320</v>
      </c>
      <c r="F9" s="46">
        <f t="shared" si="0"/>
        <v>497925830</v>
      </c>
      <c r="G9" s="46">
        <f t="shared" si="0"/>
        <v>384272372</v>
      </c>
      <c r="H9" s="46">
        <f t="shared" si="0"/>
        <v>312400775</v>
      </c>
      <c r="I9" s="46">
        <f t="shared" si="0"/>
        <v>256197458</v>
      </c>
      <c r="J9" s="47">
        <f t="shared" si="0"/>
        <v>284584186</v>
      </c>
      <c r="K9" s="47">
        <f t="shared" si="0"/>
        <v>437410131</v>
      </c>
      <c r="L9" s="47">
        <f t="shared" si="0"/>
        <v>628523929</v>
      </c>
      <c r="M9" s="47">
        <f t="shared" si="0"/>
        <v>368356276</v>
      </c>
      <c r="N9" s="47">
        <f t="shared" si="0"/>
        <v>3815480</v>
      </c>
      <c r="O9" s="48"/>
      <c r="P9" s="44" t="s">
        <v>13</v>
      </c>
    </row>
    <row r="10" spans="1:16" ht="18.75" x14ac:dyDescent="0.4">
      <c r="A10" s="33" t="s">
        <v>14</v>
      </c>
      <c r="B10" s="25">
        <v>-79596258</v>
      </c>
      <c r="C10" s="33">
        <v>291418222</v>
      </c>
      <c r="D10" s="34">
        <v>-389543780</v>
      </c>
      <c r="E10" s="35">
        <v>3392842</v>
      </c>
      <c r="F10" s="38">
        <v>-106816847</v>
      </c>
      <c r="G10" s="38">
        <v>-42814595</v>
      </c>
      <c r="H10" s="38">
        <v>-5728373</v>
      </c>
      <c r="I10" s="38">
        <v>60110072</v>
      </c>
      <c r="J10" s="38">
        <v>102053078</v>
      </c>
      <c r="K10" s="38">
        <v>103382806</v>
      </c>
      <c r="L10" s="49">
        <v>-215403253</v>
      </c>
      <c r="M10" s="38">
        <f>-209062753</f>
        <v>-209062753</v>
      </c>
      <c r="N10" s="38">
        <f>-3156147</f>
        <v>-3156147</v>
      </c>
      <c r="O10" s="50" t="s">
        <v>15</v>
      </c>
      <c r="P10" s="33" t="s">
        <v>16</v>
      </c>
    </row>
    <row r="11" spans="1:16" ht="18.75" x14ac:dyDescent="0.4">
      <c r="A11" s="44" t="s">
        <v>17</v>
      </c>
      <c r="B11" s="45">
        <f t="shared" ref="B11:N11" si="1">SUM(B9:B10)</f>
        <v>1132940726</v>
      </c>
      <c r="C11" s="45">
        <f t="shared" si="1"/>
        <v>920629744</v>
      </c>
      <c r="D11" s="45">
        <f t="shared" si="1"/>
        <v>724100371</v>
      </c>
      <c r="E11" s="45">
        <f t="shared" si="1"/>
        <v>466537162</v>
      </c>
      <c r="F11" s="46">
        <f t="shared" si="1"/>
        <v>391108983</v>
      </c>
      <c r="G11" s="46">
        <f t="shared" si="1"/>
        <v>341457777</v>
      </c>
      <c r="H11" s="46">
        <f t="shared" si="1"/>
        <v>306672402</v>
      </c>
      <c r="I11" s="46">
        <f t="shared" si="1"/>
        <v>316307530</v>
      </c>
      <c r="J11" s="47">
        <f t="shared" si="1"/>
        <v>386637264</v>
      </c>
      <c r="K11" s="47">
        <f t="shared" si="1"/>
        <v>540792937</v>
      </c>
      <c r="L11" s="47">
        <f t="shared" si="1"/>
        <v>413120676</v>
      </c>
      <c r="M11" s="47">
        <f t="shared" si="1"/>
        <v>159293523</v>
      </c>
      <c r="N11" s="47">
        <f t="shared" si="1"/>
        <v>659333</v>
      </c>
      <c r="O11" s="51"/>
      <c r="P11" s="44" t="s">
        <v>18</v>
      </c>
    </row>
    <row r="12" spans="1:16" x14ac:dyDescent="0.25">
      <c r="A12" s="33" t="s">
        <v>19</v>
      </c>
      <c r="B12" s="25">
        <v>30563714</v>
      </c>
      <c r="C12" s="34">
        <v>17874238</v>
      </c>
      <c r="D12" s="34">
        <v>27227095</v>
      </c>
      <c r="E12" s="52">
        <v>17255769</v>
      </c>
      <c r="F12" s="30">
        <v>12401784</v>
      </c>
      <c r="G12" s="37">
        <v>14207312</v>
      </c>
      <c r="H12" s="37">
        <v>7449131</v>
      </c>
      <c r="I12" s="37">
        <v>11583761</v>
      </c>
      <c r="J12" s="37">
        <v>18394858</v>
      </c>
      <c r="K12" s="37">
        <v>39837337</v>
      </c>
      <c r="L12" s="37">
        <v>41640515</v>
      </c>
      <c r="M12" s="37">
        <v>27469810</v>
      </c>
      <c r="N12" s="37">
        <v>1783577</v>
      </c>
      <c r="O12" s="31" t="s">
        <v>15</v>
      </c>
      <c r="P12" s="33" t="s">
        <v>20</v>
      </c>
    </row>
    <row r="13" spans="1:16" x14ac:dyDescent="0.25">
      <c r="A13" s="33" t="s">
        <v>21</v>
      </c>
      <c r="B13" s="25">
        <v>32588380</v>
      </c>
      <c r="C13" s="34">
        <v>28406136</v>
      </c>
      <c r="D13" s="34">
        <v>57670120</v>
      </c>
      <c r="E13" s="52">
        <v>56895613</v>
      </c>
      <c r="F13" s="30">
        <v>47064882</v>
      </c>
      <c r="G13" s="37">
        <v>58164034</v>
      </c>
      <c r="H13" s="37">
        <v>44966773</v>
      </c>
      <c r="I13" s="53" t="s">
        <v>15</v>
      </c>
      <c r="J13" s="53" t="s">
        <v>15</v>
      </c>
      <c r="K13" s="53" t="s">
        <v>15</v>
      </c>
      <c r="L13" s="53" t="s">
        <v>15</v>
      </c>
      <c r="M13" s="53" t="s">
        <v>15</v>
      </c>
      <c r="N13" s="53" t="s">
        <v>15</v>
      </c>
      <c r="O13" s="31"/>
      <c r="P13" s="33"/>
    </row>
    <row r="14" spans="1:16" x14ac:dyDescent="0.25">
      <c r="A14" s="33" t="s">
        <v>22</v>
      </c>
      <c r="B14" s="25">
        <v>0</v>
      </c>
      <c r="C14" s="34">
        <v>1963890</v>
      </c>
      <c r="D14" s="34"/>
      <c r="E14" s="52"/>
      <c r="F14" s="30"/>
      <c r="G14" s="37"/>
      <c r="H14" s="37"/>
      <c r="I14" s="53"/>
      <c r="J14" s="53"/>
      <c r="K14" s="53"/>
      <c r="L14" s="53"/>
      <c r="M14" s="53"/>
      <c r="N14" s="53"/>
      <c r="O14" s="31"/>
      <c r="P14" s="33"/>
    </row>
    <row r="15" spans="1:16" x14ac:dyDescent="0.25">
      <c r="A15" s="33" t="s">
        <v>23</v>
      </c>
      <c r="B15" s="25">
        <v>0</v>
      </c>
      <c r="C15" s="34">
        <f>250000000-72970</f>
        <v>249927030</v>
      </c>
      <c r="D15" s="34"/>
      <c r="E15" s="52"/>
      <c r="F15" s="30"/>
      <c r="G15" s="37"/>
      <c r="H15" s="37"/>
      <c r="I15" s="53"/>
      <c r="J15" s="53"/>
      <c r="K15" s="53"/>
      <c r="L15" s="53"/>
      <c r="M15" s="53"/>
      <c r="N15" s="53"/>
      <c r="O15" s="31"/>
      <c r="P15" s="33"/>
    </row>
    <row r="16" spans="1:16" x14ac:dyDescent="0.25">
      <c r="A16" s="33" t="s">
        <v>24</v>
      </c>
      <c r="B16" s="25">
        <v>0</v>
      </c>
      <c r="C16" s="34">
        <v>1821184</v>
      </c>
      <c r="D16" s="34"/>
      <c r="E16" s="52"/>
      <c r="F16" s="30"/>
      <c r="G16" s="37"/>
      <c r="H16" s="37"/>
      <c r="I16" s="53"/>
      <c r="J16" s="53"/>
      <c r="K16" s="53"/>
      <c r="L16" s="53"/>
      <c r="M16" s="53"/>
      <c r="N16" s="53"/>
      <c r="O16" s="31"/>
      <c r="P16" s="33"/>
    </row>
    <row r="17" spans="1:16" x14ac:dyDescent="0.25">
      <c r="A17" s="33" t="s">
        <v>25</v>
      </c>
      <c r="B17" s="25">
        <v>0</v>
      </c>
      <c r="C17" s="34">
        <v>539098</v>
      </c>
      <c r="D17" s="34">
        <v>226470</v>
      </c>
      <c r="E17" s="52" t="s">
        <v>15</v>
      </c>
      <c r="F17" s="30">
        <v>9745248</v>
      </c>
      <c r="G17" s="37">
        <v>2053781</v>
      </c>
      <c r="H17" s="53" t="s">
        <v>15</v>
      </c>
      <c r="I17" s="53" t="s">
        <v>15</v>
      </c>
      <c r="J17" s="53" t="s">
        <v>15</v>
      </c>
      <c r="K17" s="53" t="s">
        <v>15</v>
      </c>
      <c r="L17" s="53" t="s">
        <v>15</v>
      </c>
      <c r="M17" s="53" t="s">
        <v>15</v>
      </c>
      <c r="N17" s="53" t="s">
        <v>15</v>
      </c>
      <c r="O17" s="31"/>
      <c r="P17" s="33"/>
    </row>
    <row r="18" spans="1:16" x14ac:dyDescent="0.25">
      <c r="A18" s="33" t="s">
        <v>26</v>
      </c>
      <c r="B18" s="25">
        <v>4802669</v>
      </c>
      <c r="C18" s="34">
        <v>17444710</v>
      </c>
      <c r="D18" s="34"/>
      <c r="E18" s="52"/>
      <c r="F18" s="30"/>
      <c r="G18" s="37"/>
      <c r="H18" s="53"/>
      <c r="I18" s="53"/>
      <c r="J18" s="53"/>
      <c r="K18" s="53"/>
      <c r="L18" s="53"/>
      <c r="M18" s="53"/>
      <c r="N18" s="53"/>
      <c r="O18" s="31"/>
      <c r="P18" s="33"/>
    </row>
    <row r="19" spans="1:16" ht="18.75" x14ac:dyDescent="0.4">
      <c r="A19" s="33" t="s">
        <v>27</v>
      </c>
      <c r="B19" s="25">
        <v>1395126812</v>
      </c>
      <c r="C19" s="34"/>
      <c r="D19" s="34">
        <v>3619555</v>
      </c>
      <c r="E19" s="52" t="s">
        <v>15</v>
      </c>
      <c r="F19" s="30">
        <v>304598819</v>
      </c>
      <c r="G19" s="37">
        <v>108888777</v>
      </c>
      <c r="H19" s="37">
        <v>29922040</v>
      </c>
      <c r="I19" s="53" t="s">
        <v>15</v>
      </c>
      <c r="J19" s="53" t="s">
        <v>15</v>
      </c>
      <c r="K19" s="53" t="s">
        <v>15</v>
      </c>
      <c r="L19" s="53" t="s">
        <v>15</v>
      </c>
      <c r="M19" s="53" t="s">
        <v>15</v>
      </c>
      <c r="N19" s="53" t="s">
        <v>15</v>
      </c>
      <c r="O19" s="50"/>
      <c r="P19" s="54"/>
    </row>
    <row r="20" spans="1:16" ht="18.75" x14ac:dyDescent="0.4">
      <c r="A20" s="38" t="s">
        <v>28</v>
      </c>
      <c r="B20" s="55"/>
      <c r="C20" s="55"/>
      <c r="D20" s="40">
        <v>1678543</v>
      </c>
      <c r="E20" s="41">
        <v>3558422</v>
      </c>
      <c r="F20" s="42" t="s">
        <v>15</v>
      </c>
      <c r="G20" s="38">
        <v>37225100</v>
      </c>
      <c r="H20" s="38">
        <v>66031545</v>
      </c>
      <c r="I20" s="50" t="s">
        <v>15</v>
      </c>
      <c r="J20" s="50" t="s">
        <v>15</v>
      </c>
      <c r="K20" s="50" t="s">
        <v>15</v>
      </c>
      <c r="L20" s="50" t="s">
        <v>15</v>
      </c>
      <c r="M20" s="50" t="s">
        <v>15</v>
      </c>
      <c r="N20" s="50" t="s">
        <v>15</v>
      </c>
      <c r="O20" s="50"/>
      <c r="P20" s="54"/>
    </row>
    <row r="21" spans="1:16" s="64" customFormat="1" ht="18.75" x14ac:dyDescent="0.4">
      <c r="A21" s="56" t="s">
        <v>29</v>
      </c>
      <c r="B21" s="57">
        <v>30990090</v>
      </c>
      <c r="C21" s="58"/>
      <c r="D21" s="59"/>
      <c r="E21" s="60"/>
      <c r="F21" s="61"/>
      <c r="G21" s="56"/>
      <c r="H21" s="56"/>
      <c r="I21" s="62"/>
      <c r="J21" s="62"/>
      <c r="K21" s="62"/>
      <c r="L21" s="62"/>
      <c r="M21" s="62"/>
      <c r="N21" s="62"/>
      <c r="O21" s="62"/>
      <c r="P21" s="63"/>
    </row>
    <row r="22" spans="1:16" x14ac:dyDescent="0.25">
      <c r="A22" s="44" t="s">
        <v>30</v>
      </c>
      <c r="B22" s="65">
        <f>SUM(B11:B21)</f>
        <v>2627012391</v>
      </c>
      <c r="C22" s="65">
        <f t="shared" ref="C22:N22" si="2">SUM(C11:C20)</f>
        <v>1238606030</v>
      </c>
      <c r="D22" s="45">
        <f t="shared" si="2"/>
        <v>814522154</v>
      </c>
      <c r="E22" s="45">
        <f t="shared" si="2"/>
        <v>544246966</v>
      </c>
      <c r="F22" s="46">
        <f t="shared" si="2"/>
        <v>764919716</v>
      </c>
      <c r="G22" s="46">
        <f t="shared" si="2"/>
        <v>561996781</v>
      </c>
      <c r="H22" s="46">
        <f t="shared" si="2"/>
        <v>455041891</v>
      </c>
      <c r="I22" s="46">
        <f t="shared" si="2"/>
        <v>327891291</v>
      </c>
      <c r="J22" s="46">
        <f t="shared" si="2"/>
        <v>405032122</v>
      </c>
      <c r="K22" s="46">
        <f t="shared" si="2"/>
        <v>580630274</v>
      </c>
      <c r="L22" s="46">
        <f t="shared" si="2"/>
        <v>454761191</v>
      </c>
      <c r="M22" s="46">
        <f t="shared" si="2"/>
        <v>186763333</v>
      </c>
      <c r="N22" s="46">
        <f t="shared" si="2"/>
        <v>2442910</v>
      </c>
      <c r="O22" s="48"/>
      <c r="P22" s="44" t="s">
        <v>31</v>
      </c>
    </row>
    <row r="23" spans="1:16" x14ac:dyDescent="0.25">
      <c r="A23" s="24" t="s">
        <v>32</v>
      </c>
      <c r="B23" s="25"/>
      <c r="C23" s="24"/>
      <c r="D23" s="26"/>
      <c r="E23" s="27"/>
      <c r="F23" s="28"/>
      <c r="G23" s="37"/>
      <c r="H23" s="37"/>
      <c r="I23" s="24"/>
      <c r="J23" s="24"/>
      <c r="K23" s="66"/>
      <c r="L23" s="67"/>
      <c r="M23" s="67"/>
      <c r="N23" s="67"/>
      <c r="O23" s="67"/>
      <c r="P23" s="32" t="s">
        <v>33</v>
      </c>
    </row>
    <row r="24" spans="1:16" x14ac:dyDescent="0.25">
      <c r="A24" s="33" t="s">
        <v>34</v>
      </c>
      <c r="B24" s="25">
        <f>-623805466+7913945</f>
        <v>-615891521</v>
      </c>
      <c r="C24" s="34">
        <f>-536118155+8982445</f>
        <v>-527135710</v>
      </c>
      <c r="D24" s="34">
        <v>-708382268</v>
      </c>
      <c r="E24" s="68">
        <v>-264204943</v>
      </c>
      <c r="F24" s="37">
        <v>-200244875</v>
      </c>
      <c r="G24" s="37">
        <v>-271082315</v>
      </c>
      <c r="H24" s="37">
        <v>-149303439</v>
      </c>
      <c r="I24" s="37">
        <v>-96145788</v>
      </c>
      <c r="J24" s="37">
        <v>146517790</v>
      </c>
      <c r="K24" s="37">
        <v>193063721</v>
      </c>
      <c r="L24" s="37">
        <v>123570189</v>
      </c>
      <c r="M24" s="37">
        <v>25352167</v>
      </c>
      <c r="N24" s="37">
        <v>211471</v>
      </c>
      <c r="O24" s="69" t="s">
        <v>15</v>
      </c>
      <c r="P24" s="54" t="s">
        <v>35</v>
      </c>
    </row>
    <row r="25" spans="1:16" s="38" customFormat="1" ht="18.75" x14ac:dyDescent="0.4">
      <c r="A25" s="38" t="s">
        <v>36</v>
      </c>
      <c r="B25" s="39">
        <v>6890851</v>
      </c>
      <c r="C25" s="38">
        <v>7102173</v>
      </c>
      <c r="D25" s="40">
        <v>6587186</v>
      </c>
      <c r="E25" s="41">
        <v>7736445</v>
      </c>
      <c r="F25" s="38">
        <v>3363473</v>
      </c>
      <c r="G25" s="38">
        <v>7903140</v>
      </c>
      <c r="H25" s="38">
        <v>37235964</v>
      </c>
      <c r="I25" s="50" t="s">
        <v>15</v>
      </c>
      <c r="J25" s="50" t="s">
        <v>15</v>
      </c>
      <c r="K25" s="50" t="s">
        <v>15</v>
      </c>
      <c r="L25" s="50" t="s">
        <v>15</v>
      </c>
      <c r="M25" s="50" t="s">
        <v>15</v>
      </c>
      <c r="N25" s="50" t="s">
        <v>15</v>
      </c>
      <c r="O25" s="50" t="s">
        <v>15</v>
      </c>
    </row>
    <row r="26" spans="1:16" x14ac:dyDescent="0.25">
      <c r="A26" s="70" t="s">
        <v>34</v>
      </c>
      <c r="B26" s="71">
        <f>SUM(B24:B25)</f>
        <v>-609000670</v>
      </c>
      <c r="C26" s="71">
        <f>SUM(C24:C25)</f>
        <v>-520033537</v>
      </c>
      <c r="D26" s="71">
        <v>-701795082</v>
      </c>
      <c r="E26" s="68">
        <f>SUM(E24:E25)</f>
        <v>-256468498</v>
      </c>
      <c r="F26" s="37">
        <f>SUM(F24:F25)</f>
        <v>-196881402</v>
      </c>
      <c r="G26" s="37">
        <f>SUM(G24:G25)</f>
        <v>-263179175</v>
      </c>
      <c r="H26" s="37">
        <f>SUM(H24:H25)</f>
        <v>-112067475</v>
      </c>
      <c r="I26" s="37">
        <f t="shared" ref="I26:O26" si="3">SUM(I24:I25)</f>
        <v>-96145788</v>
      </c>
      <c r="J26" s="37">
        <f t="shared" si="3"/>
        <v>146517790</v>
      </c>
      <c r="K26" s="37">
        <f t="shared" si="3"/>
        <v>193063721</v>
      </c>
      <c r="L26" s="37">
        <f t="shared" si="3"/>
        <v>123570189</v>
      </c>
      <c r="M26" s="37">
        <f t="shared" si="3"/>
        <v>25352167</v>
      </c>
      <c r="N26" s="37">
        <f t="shared" si="3"/>
        <v>211471</v>
      </c>
      <c r="O26" s="37">
        <f t="shared" si="3"/>
        <v>0</v>
      </c>
      <c r="P26" s="54"/>
    </row>
    <row r="27" spans="1:16" s="38" customFormat="1" ht="18.75" x14ac:dyDescent="0.4">
      <c r="A27" s="38" t="s">
        <v>37</v>
      </c>
      <c r="B27" s="39">
        <v>44810123</v>
      </c>
      <c r="C27" s="38">
        <v>20039819</v>
      </c>
      <c r="D27" s="40">
        <v>-38833996</v>
      </c>
      <c r="E27" s="41">
        <v>47025269</v>
      </c>
      <c r="F27" s="42">
        <v>-85006095</v>
      </c>
      <c r="G27" s="38">
        <v>216880188</v>
      </c>
      <c r="H27" s="38">
        <v>-95037365</v>
      </c>
      <c r="I27" s="50">
        <v>-112487260</v>
      </c>
      <c r="J27" s="50">
        <v>146590690</v>
      </c>
      <c r="K27" s="50">
        <v>194545383</v>
      </c>
      <c r="L27" s="50">
        <v>117802008</v>
      </c>
      <c r="M27" s="50">
        <v>44364062</v>
      </c>
      <c r="N27" s="50">
        <v>649675</v>
      </c>
      <c r="O27" s="50">
        <v>0</v>
      </c>
      <c r="P27" s="38" t="s">
        <v>38</v>
      </c>
    </row>
    <row r="28" spans="1:16" x14ac:dyDescent="0.25">
      <c r="A28" s="70" t="s">
        <v>39</v>
      </c>
      <c r="B28" s="72">
        <f>SUM(B26:B27)</f>
        <v>-564190547</v>
      </c>
      <c r="C28" s="72">
        <f>SUM(C26:C27)</f>
        <v>-499993718</v>
      </c>
      <c r="D28" s="71">
        <v>-740629078</v>
      </c>
      <c r="E28" s="68">
        <f>SUM(E26:E27)</f>
        <v>-209443229</v>
      </c>
      <c r="F28" s="36">
        <f>SUM(F26:F27)</f>
        <v>-281887497</v>
      </c>
      <c r="G28" s="37">
        <f>SUM(G26:G27)</f>
        <v>-46298987</v>
      </c>
      <c r="H28" s="37">
        <f>SUM(H26:H27)</f>
        <v>-207104840</v>
      </c>
      <c r="I28" s="37">
        <f t="shared" ref="I28:O28" si="4">SUM(I26:I27)</f>
        <v>-208633048</v>
      </c>
      <c r="J28" s="37">
        <f t="shared" si="4"/>
        <v>293108480</v>
      </c>
      <c r="K28" s="37">
        <f t="shared" si="4"/>
        <v>387609104</v>
      </c>
      <c r="L28" s="37">
        <f t="shared" si="4"/>
        <v>241372197</v>
      </c>
      <c r="M28" s="37">
        <f t="shared" si="4"/>
        <v>69716229</v>
      </c>
      <c r="N28" s="37">
        <f t="shared" si="4"/>
        <v>861146</v>
      </c>
      <c r="O28" s="69">
        <f t="shared" si="4"/>
        <v>0</v>
      </c>
      <c r="P28" s="54"/>
    </row>
    <row r="29" spans="1:16" x14ac:dyDescent="0.25">
      <c r="A29" s="33" t="s">
        <v>40</v>
      </c>
      <c r="B29" s="25">
        <v>-58262894</v>
      </c>
      <c r="C29" s="34">
        <v>-41898971</v>
      </c>
      <c r="D29" s="34">
        <v>-46563274</v>
      </c>
      <c r="E29" s="68">
        <v>-27241490</v>
      </c>
      <c r="F29" s="36">
        <v>-25126433</v>
      </c>
      <c r="G29" s="37">
        <v>-25184852</v>
      </c>
      <c r="H29" s="37">
        <v>-24746326</v>
      </c>
      <c r="I29" s="37">
        <v>-25933663</v>
      </c>
      <c r="J29" s="37">
        <v>44141834</v>
      </c>
      <c r="K29" s="37">
        <v>47896600</v>
      </c>
      <c r="L29" s="37">
        <v>54026478</v>
      </c>
      <c r="M29" s="37">
        <v>28501559</v>
      </c>
      <c r="N29" s="37">
        <v>726444</v>
      </c>
      <c r="O29" s="69" t="s">
        <v>15</v>
      </c>
      <c r="P29" s="54" t="s">
        <v>41</v>
      </c>
    </row>
    <row r="30" spans="1:16" x14ac:dyDescent="0.25">
      <c r="A30" s="33" t="s">
        <v>42</v>
      </c>
      <c r="B30" s="25">
        <v>-85711491</v>
      </c>
      <c r="C30" s="34">
        <v>-73079936</v>
      </c>
      <c r="D30" s="34">
        <v>-88347986</v>
      </c>
      <c r="E30" s="68">
        <v>-28763945</v>
      </c>
      <c r="F30" s="36">
        <v>-20223526</v>
      </c>
      <c r="G30" s="37">
        <v>-10759786</v>
      </c>
      <c r="H30" s="37">
        <v>-8359531</v>
      </c>
      <c r="I30" s="37">
        <v>-10516340</v>
      </c>
      <c r="J30" s="37">
        <v>10994872</v>
      </c>
      <c r="K30" s="37">
        <v>15619947</v>
      </c>
      <c r="L30" s="37">
        <v>14151299</v>
      </c>
      <c r="M30" s="37">
        <v>5013874</v>
      </c>
      <c r="N30" s="37">
        <v>542050</v>
      </c>
      <c r="O30" s="69" t="s">
        <v>15</v>
      </c>
      <c r="P30" s="54" t="s">
        <v>43</v>
      </c>
    </row>
    <row r="31" spans="1:16" s="80" customFormat="1" hidden="1" x14ac:dyDescent="0.25">
      <c r="A31" s="73" t="s">
        <v>44</v>
      </c>
      <c r="B31" s="73"/>
      <c r="C31" s="34"/>
      <c r="D31" s="74"/>
      <c r="E31" s="75"/>
      <c r="F31" s="76"/>
      <c r="G31" s="77"/>
      <c r="H31" s="77"/>
      <c r="I31" s="77"/>
      <c r="J31" s="77"/>
      <c r="K31" s="77"/>
      <c r="L31" s="77"/>
      <c r="M31" s="77"/>
      <c r="N31" s="76"/>
      <c r="O31" s="78" t="s">
        <v>15</v>
      </c>
      <c r="P31" s="79" t="s">
        <v>45</v>
      </c>
    </row>
    <row r="32" spans="1:16" x14ac:dyDescent="0.25">
      <c r="A32" s="33" t="s">
        <v>46</v>
      </c>
      <c r="B32" s="33">
        <v>0</v>
      </c>
      <c r="C32" s="34">
        <v>0</v>
      </c>
      <c r="D32" s="34">
        <v>-2997056</v>
      </c>
      <c r="E32" s="68">
        <v>-6295576</v>
      </c>
      <c r="F32" s="36">
        <v>-945107</v>
      </c>
      <c r="G32" s="53" t="s">
        <v>15</v>
      </c>
      <c r="H32" s="37">
        <v>-4390908</v>
      </c>
      <c r="I32" s="53" t="s">
        <v>15</v>
      </c>
      <c r="J32" s="53" t="s">
        <v>15</v>
      </c>
      <c r="K32" s="53" t="s">
        <v>15</v>
      </c>
      <c r="L32" s="53" t="s">
        <v>15</v>
      </c>
      <c r="M32" s="53" t="s">
        <v>15</v>
      </c>
      <c r="N32" s="53" t="s">
        <v>15</v>
      </c>
      <c r="O32" s="53" t="s">
        <v>15</v>
      </c>
      <c r="P32" s="54"/>
    </row>
    <row r="33" spans="1:16" s="64" customFormat="1" x14ac:dyDescent="0.25">
      <c r="A33" s="81" t="s">
        <v>47</v>
      </c>
      <c r="B33" s="82">
        <v>-7126066</v>
      </c>
      <c r="C33" s="83"/>
      <c r="D33" s="83"/>
      <c r="E33" s="84"/>
      <c r="F33" s="85"/>
      <c r="G33" s="86"/>
      <c r="H33" s="87"/>
      <c r="I33" s="86"/>
      <c r="J33" s="86"/>
      <c r="K33" s="86"/>
      <c r="L33" s="86"/>
      <c r="M33" s="86"/>
      <c r="N33" s="86"/>
      <c r="O33" s="86"/>
      <c r="P33" s="63"/>
    </row>
    <row r="34" spans="1:16" x14ac:dyDescent="0.25">
      <c r="A34" s="33" t="s">
        <v>27</v>
      </c>
      <c r="B34" s="88">
        <v>0</v>
      </c>
      <c r="C34" s="34">
        <v>-11811215</v>
      </c>
      <c r="D34" s="34">
        <v>-30954164</v>
      </c>
      <c r="E34" s="68">
        <v>-137884476</v>
      </c>
      <c r="F34" s="53" t="s">
        <v>15</v>
      </c>
      <c r="G34" s="53" t="s">
        <v>15</v>
      </c>
      <c r="H34" s="53" t="s">
        <v>15</v>
      </c>
      <c r="I34" s="53" t="s">
        <v>15</v>
      </c>
      <c r="J34" s="53" t="s">
        <v>15</v>
      </c>
      <c r="K34" s="53" t="s">
        <v>15</v>
      </c>
      <c r="L34" s="53" t="s">
        <v>15</v>
      </c>
      <c r="M34" s="53" t="s">
        <v>15</v>
      </c>
      <c r="N34" s="53" t="s">
        <v>15</v>
      </c>
      <c r="O34" s="53" t="s">
        <v>15</v>
      </c>
      <c r="P34" s="54"/>
    </row>
    <row r="35" spans="1:16" ht="18.75" x14ac:dyDescent="0.4">
      <c r="A35" s="33" t="s">
        <v>28</v>
      </c>
      <c r="B35" s="39">
        <v>-5908237</v>
      </c>
      <c r="C35" s="34">
        <v>-1187135</v>
      </c>
      <c r="D35" s="34"/>
      <c r="E35" s="68" t="s">
        <v>15</v>
      </c>
      <c r="F35" s="36">
        <v>-23358337</v>
      </c>
      <c r="G35" s="53" t="s">
        <v>15</v>
      </c>
      <c r="H35" s="53" t="s">
        <v>15</v>
      </c>
      <c r="I35" s="53" t="s">
        <v>15</v>
      </c>
      <c r="J35" s="53" t="s">
        <v>15</v>
      </c>
      <c r="K35" s="53" t="s">
        <v>15</v>
      </c>
      <c r="L35" s="53" t="s">
        <v>15</v>
      </c>
      <c r="M35" s="53" t="s">
        <v>15</v>
      </c>
      <c r="N35" s="53" t="s">
        <v>15</v>
      </c>
      <c r="O35" s="53" t="s">
        <v>15</v>
      </c>
      <c r="P35" s="54"/>
    </row>
    <row r="36" spans="1:16" x14ac:dyDescent="0.25">
      <c r="A36" s="33" t="s">
        <v>48</v>
      </c>
      <c r="B36" s="88">
        <v>0</v>
      </c>
      <c r="C36" s="34">
        <v>0</v>
      </c>
      <c r="D36" s="34">
        <v>-297464901</v>
      </c>
      <c r="E36" s="68">
        <v>-207626232</v>
      </c>
      <c r="F36" s="36">
        <v>-194970532</v>
      </c>
      <c r="G36" s="37">
        <v>-152162611</v>
      </c>
      <c r="H36" s="37">
        <v>-138147038</v>
      </c>
      <c r="I36" s="53" t="s">
        <v>15</v>
      </c>
      <c r="J36" s="53" t="s">
        <v>15</v>
      </c>
      <c r="K36" s="53" t="s">
        <v>15</v>
      </c>
      <c r="L36" s="53" t="s">
        <v>15</v>
      </c>
      <c r="M36" s="53" t="s">
        <v>15</v>
      </c>
      <c r="N36" s="53" t="s">
        <v>15</v>
      </c>
      <c r="O36" s="53" t="s">
        <v>15</v>
      </c>
      <c r="P36" s="54"/>
    </row>
    <row r="37" spans="1:16" x14ac:dyDescent="0.25">
      <c r="A37" s="33" t="s">
        <v>49</v>
      </c>
      <c r="B37" s="88"/>
      <c r="C37" s="34">
        <v>0</v>
      </c>
      <c r="D37" s="34">
        <v>-1383750</v>
      </c>
      <c r="E37" s="68">
        <v>-1127500</v>
      </c>
      <c r="F37" s="36">
        <v>-2650000</v>
      </c>
      <c r="G37" s="53" t="s">
        <v>15</v>
      </c>
      <c r="H37" s="53" t="s">
        <v>15</v>
      </c>
      <c r="I37" s="53" t="s">
        <v>15</v>
      </c>
      <c r="J37" s="53" t="s">
        <v>15</v>
      </c>
      <c r="K37" s="53" t="s">
        <v>15</v>
      </c>
      <c r="L37" s="53" t="s">
        <v>15</v>
      </c>
      <c r="M37" s="53" t="s">
        <v>15</v>
      </c>
      <c r="N37" s="53" t="s">
        <v>15</v>
      </c>
      <c r="O37" s="53" t="s">
        <v>15</v>
      </c>
      <c r="P37" s="54"/>
    </row>
    <row r="38" spans="1:16" ht="21" x14ac:dyDescent="0.55000000000000004">
      <c r="A38" s="33" t="s">
        <v>50</v>
      </c>
      <c r="B38" s="25">
        <v>-9432268</v>
      </c>
      <c r="C38" s="34">
        <v>-4518522</v>
      </c>
      <c r="D38" s="40">
        <v>-9749363</v>
      </c>
      <c r="E38" s="41">
        <v>-4558217</v>
      </c>
      <c r="F38" s="42">
        <v>-5574364</v>
      </c>
      <c r="G38" s="38">
        <v>-4814721</v>
      </c>
      <c r="H38" s="38">
        <v>-3971370</v>
      </c>
      <c r="I38" s="38">
        <v>-3844522</v>
      </c>
      <c r="J38" s="38">
        <v>4697112</v>
      </c>
      <c r="K38" s="38">
        <v>6535740</v>
      </c>
      <c r="L38" s="38">
        <v>8388848</v>
      </c>
      <c r="M38" s="38">
        <v>4724477</v>
      </c>
      <c r="N38" s="50" t="s">
        <v>15</v>
      </c>
      <c r="O38" s="89" t="s">
        <v>15</v>
      </c>
      <c r="P38" s="90" t="s">
        <v>51</v>
      </c>
    </row>
    <row r="39" spans="1:16" x14ac:dyDescent="0.25">
      <c r="A39" s="44" t="s">
        <v>52</v>
      </c>
      <c r="B39" s="91">
        <f t="shared" ref="B39:O39" si="5">SUM(B28:B38)</f>
        <v>-730631503</v>
      </c>
      <c r="C39" s="91">
        <f t="shared" si="5"/>
        <v>-632489497</v>
      </c>
      <c r="D39" s="91">
        <f t="shared" si="5"/>
        <v>-1218089572</v>
      </c>
      <c r="E39" s="45">
        <f t="shared" si="5"/>
        <v>-622940665</v>
      </c>
      <c r="F39" s="46">
        <f t="shared" si="5"/>
        <v>-554735796</v>
      </c>
      <c r="G39" s="46">
        <f t="shared" si="5"/>
        <v>-239220957</v>
      </c>
      <c r="H39" s="46">
        <f t="shared" si="5"/>
        <v>-386720013</v>
      </c>
      <c r="I39" s="46">
        <f t="shared" si="5"/>
        <v>-248927573</v>
      </c>
      <c r="J39" s="46">
        <f t="shared" si="5"/>
        <v>352942298</v>
      </c>
      <c r="K39" s="46">
        <f t="shared" si="5"/>
        <v>457661391</v>
      </c>
      <c r="L39" s="46">
        <f t="shared" si="5"/>
        <v>317938822</v>
      </c>
      <c r="M39" s="46">
        <f t="shared" si="5"/>
        <v>107956139</v>
      </c>
      <c r="N39" s="46">
        <f t="shared" si="5"/>
        <v>2129640</v>
      </c>
      <c r="O39" s="46">
        <f t="shared" si="5"/>
        <v>0</v>
      </c>
      <c r="P39" s="44" t="s">
        <v>53</v>
      </c>
    </row>
    <row r="40" spans="1:16" x14ac:dyDescent="0.25">
      <c r="A40" s="92" t="s">
        <v>54</v>
      </c>
      <c r="B40" s="93">
        <f>B39+B22</f>
        <v>1896380888</v>
      </c>
      <c r="C40" s="93">
        <f>C39+C22</f>
        <v>606116533</v>
      </c>
      <c r="D40" s="94">
        <v>-403567415</v>
      </c>
      <c r="E40" s="68">
        <v>-78693699</v>
      </c>
      <c r="F40" s="53">
        <v>210183920</v>
      </c>
      <c r="G40" s="53">
        <v>322775824</v>
      </c>
      <c r="H40" s="53">
        <v>68321878</v>
      </c>
      <c r="I40" s="95">
        <v>78963718</v>
      </c>
      <c r="J40" s="95">
        <f>J22+J39</f>
        <v>757974420</v>
      </c>
      <c r="K40" s="95">
        <f>K22+K39</f>
        <v>1038291665</v>
      </c>
      <c r="L40" s="96">
        <f>L22+L39</f>
        <v>772700013</v>
      </c>
      <c r="M40" s="96">
        <f>M22+M39</f>
        <v>294719472</v>
      </c>
      <c r="N40" s="96">
        <f>N22+N39</f>
        <v>4572550</v>
      </c>
      <c r="O40" s="53" t="s">
        <v>15</v>
      </c>
      <c r="P40" s="54" t="s">
        <v>55</v>
      </c>
    </row>
    <row r="41" spans="1:16" s="38" customFormat="1" ht="18.75" x14ac:dyDescent="0.4">
      <c r="A41" s="38" t="s">
        <v>56</v>
      </c>
      <c r="B41" s="38">
        <v>-418489602</v>
      </c>
      <c r="C41" s="38">
        <v>-275921177</v>
      </c>
      <c r="D41" s="40">
        <v>0</v>
      </c>
      <c r="E41" s="41">
        <v>-14720924</v>
      </c>
      <c r="F41" s="50" t="s">
        <v>15</v>
      </c>
      <c r="G41" s="50">
        <v>-137871897</v>
      </c>
      <c r="H41" s="50" t="s">
        <v>15</v>
      </c>
      <c r="I41" s="50" t="s">
        <v>15</v>
      </c>
      <c r="J41" s="50" t="s">
        <v>15</v>
      </c>
      <c r="K41" s="50" t="s">
        <v>15</v>
      </c>
      <c r="L41" s="50" t="s">
        <v>15</v>
      </c>
      <c r="M41" s="50" t="s">
        <v>15</v>
      </c>
      <c r="N41" s="50" t="s">
        <v>15</v>
      </c>
      <c r="O41" s="50" t="s">
        <v>15</v>
      </c>
    </row>
    <row r="42" spans="1:16" x14ac:dyDescent="0.25">
      <c r="A42" s="97" t="s">
        <v>57</v>
      </c>
      <c r="B42" s="98">
        <f t="shared" ref="B42:O42" si="6">SUM(B40:B41)</f>
        <v>1477891286</v>
      </c>
      <c r="C42" s="98">
        <f t="shared" si="6"/>
        <v>330195356</v>
      </c>
      <c r="D42" s="98">
        <f t="shared" si="6"/>
        <v>-403567415</v>
      </c>
      <c r="E42" s="68">
        <f t="shared" si="6"/>
        <v>-93414623</v>
      </c>
      <c r="F42" s="53">
        <f t="shared" si="6"/>
        <v>210183920</v>
      </c>
      <c r="G42" s="53">
        <f t="shared" si="6"/>
        <v>184903927</v>
      </c>
      <c r="H42" s="53">
        <f t="shared" si="6"/>
        <v>68321878</v>
      </c>
      <c r="I42" s="53">
        <f t="shared" si="6"/>
        <v>78963718</v>
      </c>
      <c r="J42" s="53">
        <f t="shared" si="6"/>
        <v>757974420</v>
      </c>
      <c r="K42" s="53">
        <f t="shared" si="6"/>
        <v>1038291665</v>
      </c>
      <c r="L42" s="53">
        <f t="shared" si="6"/>
        <v>772700013</v>
      </c>
      <c r="M42" s="53">
        <f t="shared" si="6"/>
        <v>294719472</v>
      </c>
      <c r="N42" s="53">
        <f t="shared" si="6"/>
        <v>4572550</v>
      </c>
      <c r="O42" s="53">
        <f t="shared" si="6"/>
        <v>0</v>
      </c>
      <c r="P42" s="54"/>
    </row>
    <row r="43" spans="1:16" x14ac:dyDescent="0.25">
      <c r="A43" s="92" t="s">
        <v>58</v>
      </c>
      <c r="B43" s="88">
        <v>-9718574</v>
      </c>
      <c r="C43" s="92">
        <v>-14479636</v>
      </c>
      <c r="D43" s="94"/>
      <c r="E43" s="68">
        <v>-8376295</v>
      </c>
      <c r="F43" s="99" t="s">
        <v>15</v>
      </c>
      <c r="G43" s="53">
        <v>-11648915</v>
      </c>
      <c r="H43" s="53" t="s">
        <v>15</v>
      </c>
      <c r="I43" s="53" t="s">
        <v>15</v>
      </c>
      <c r="J43" s="53" t="s">
        <v>15</v>
      </c>
      <c r="K43" s="53" t="s">
        <v>15</v>
      </c>
      <c r="L43" s="53" t="s">
        <v>15</v>
      </c>
      <c r="M43" s="53" t="s">
        <v>15</v>
      </c>
      <c r="N43" s="53" t="s">
        <v>15</v>
      </c>
      <c r="O43" s="53" t="s">
        <v>15</v>
      </c>
      <c r="P43" s="54"/>
    </row>
    <row r="44" spans="1:16" x14ac:dyDescent="0.25">
      <c r="A44" s="33" t="s">
        <v>59</v>
      </c>
      <c r="B44" s="100">
        <v>12593163</v>
      </c>
      <c r="C44" s="33">
        <v>0</v>
      </c>
      <c r="D44" s="34"/>
      <c r="E44" s="101" t="s">
        <v>15</v>
      </c>
      <c r="F44" s="102" t="s">
        <v>15</v>
      </c>
      <c r="G44" s="53" t="s">
        <v>15</v>
      </c>
      <c r="H44" s="53" t="s">
        <v>15</v>
      </c>
      <c r="I44" s="95">
        <v>41983554</v>
      </c>
      <c r="J44" s="53">
        <v>46003047</v>
      </c>
      <c r="K44" s="53">
        <v>23403097</v>
      </c>
      <c r="L44" s="103">
        <v>14523168</v>
      </c>
      <c r="M44" s="53">
        <v>1324865</v>
      </c>
      <c r="N44" s="53" t="s">
        <v>15</v>
      </c>
      <c r="O44" s="104" t="s">
        <v>15</v>
      </c>
      <c r="P44" s="54" t="s">
        <v>60</v>
      </c>
    </row>
    <row r="45" spans="1:16" x14ac:dyDescent="0.25">
      <c r="A45" s="33" t="s">
        <v>61</v>
      </c>
      <c r="B45" s="88">
        <v>0</v>
      </c>
      <c r="C45" s="33">
        <v>0</v>
      </c>
      <c r="D45" s="34"/>
      <c r="E45" s="101" t="s">
        <v>15</v>
      </c>
      <c r="F45" s="102" t="s">
        <v>15</v>
      </c>
      <c r="G45" s="53" t="s">
        <v>15</v>
      </c>
      <c r="H45" s="53" t="s">
        <v>15</v>
      </c>
      <c r="I45" s="95">
        <v>3490308</v>
      </c>
      <c r="J45" s="53" t="s">
        <v>15</v>
      </c>
      <c r="K45" s="53" t="s">
        <v>15</v>
      </c>
      <c r="L45" s="53" t="s">
        <v>15</v>
      </c>
      <c r="M45" s="53" t="s">
        <v>15</v>
      </c>
      <c r="N45" s="53" t="s">
        <v>15</v>
      </c>
      <c r="O45" s="53" t="s">
        <v>15</v>
      </c>
      <c r="P45" s="54" t="s">
        <v>62</v>
      </c>
    </row>
    <row r="46" spans="1:16" x14ac:dyDescent="0.25">
      <c r="A46" s="92" t="s">
        <v>63</v>
      </c>
      <c r="B46" s="88">
        <v>0</v>
      </c>
      <c r="C46" s="92">
        <v>0</v>
      </c>
      <c r="D46" s="94"/>
      <c r="E46" s="101" t="s">
        <v>15</v>
      </c>
      <c r="F46" s="99" t="s">
        <v>15</v>
      </c>
      <c r="G46" s="53" t="s">
        <v>15</v>
      </c>
      <c r="H46" s="53" t="s">
        <v>15</v>
      </c>
      <c r="I46" s="95">
        <v>8201578</v>
      </c>
      <c r="J46" s="53">
        <v>14470137</v>
      </c>
      <c r="K46" s="95">
        <v>6215515</v>
      </c>
      <c r="L46" s="95">
        <v>23431</v>
      </c>
      <c r="M46" s="53">
        <v>0</v>
      </c>
      <c r="N46" s="53">
        <v>0</v>
      </c>
      <c r="O46" s="104" t="s">
        <v>15</v>
      </c>
      <c r="P46" s="54" t="s">
        <v>64</v>
      </c>
    </row>
    <row r="47" spans="1:16" x14ac:dyDescent="0.25">
      <c r="A47" s="92" t="s">
        <v>46</v>
      </c>
      <c r="B47" s="88">
        <v>0</v>
      </c>
      <c r="C47" s="92">
        <v>0</v>
      </c>
      <c r="D47" s="94"/>
      <c r="E47" s="101" t="s">
        <v>15</v>
      </c>
      <c r="F47" s="99" t="s">
        <v>15</v>
      </c>
      <c r="G47" s="53" t="s">
        <v>15</v>
      </c>
      <c r="H47" s="53" t="s">
        <v>15</v>
      </c>
      <c r="I47" s="95">
        <v>-3685020</v>
      </c>
      <c r="J47" s="53" t="s">
        <v>15</v>
      </c>
      <c r="K47" s="53" t="s">
        <v>15</v>
      </c>
      <c r="L47" s="53" t="s">
        <v>15</v>
      </c>
      <c r="M47" s="53" t="s">
        <v>15</v>
      </c>
      <c r="N47" s="53" t="s">
        <v>15</v>
      </c>
      <c r="O47" s="104" t="s">
        <v>15</v>
      </c>
      <c r="P47" s="54" t="s">
        <v>65</v>
      </c>
    </row>
    <row r="48" spans="1:16" ht="18.75" x14ac:dyDescent="0.4">
      <c r="A48" s="102" t="s">
        <v>48</v>
      </c>
      <c r="B48" s="102">
        <v>0</v>
      </c>
      <c r="C48" s="102">
        <v>0</v>
      </c>
      <c r="D48" s="98"/>
      <c r="E48" s="41" t="s">
        <v>15</v>
      </c>
      <c r="F48" s="50" t="s">
        <v>15</v>
      </c>
      <c r="G48" s="50" t="s">
        <v>15</v>
      </c>
      <c r="H48" s="50" t="s">
        <v>15</v>
      </c>
      <c r="I48" s="50">
        <v>-136878133</v>
      </c>
      <c r="J48" s="50">
        <v>-147925918</v>
      </c>
      <c r="K48" s="50">
        <v>-146694465</v>
      </c>
      <c r="L48" s="50">
        <v>-129226966</v>
      </c>
      <c r="M48" s="50">
        <f>-105141780</f>
        <v>-105141780</v>
      </c>
      <c r="N48" s="50">
        <f>-35124156</f>
        <v>-35124156</v>
      </c>
      <c r="O48" s="69" t="s">
        <v>15</v>
      </c>
      <c r="P48" s="54" t="s">
        <v>66</v>
      </c>
    </row>
    <row r="49" spans="1:16" x14ac:dyDescent="0.25">
      <c r="A49" s="44" t="s">
        <v>67</v>
      </c>
      <c r="B49" s="45">
        <f t="shared" ref="B49:O49" si="7">SUM(B42:B48)</f>
        <v>1480765875</v>
      </c>
      <c r="C49" s="45">
        <f t="shared" si="7"/>
        <v>315715720</v>
      </c>
      <c r="D49" s="45">
        <f t="shared" si="7"/>
        <v>-403567415</v>
      </c>
      <c r="E49" s="45">
        <f t="shared" si="7"/>
        <v>-101790918</v>
      </c>
      <c r="F49" s="46">
        <f t="shared" si="7"/>
        <v>210183920</v>
      </c>
      <c r="G49" s="46">
        <f t="shared" si="7"/>
        <v>173255012</v>
      </c>
      <c r="H49" s="46">
        <f t="shared" si="7"/>
        <v>68321878</v>
      </c>
      <c r="I49" s="46">
        <f t="shared" si="7"/>
        <v>-7923995</v>
      </c>
      <c r="J49" s="46">
        <f t="shared" si="7"/>
        <v>670521686</v>
      </c>
      <c r="K49" s="46">
        <f>SUM(K42:K48)</f>
        <v>921215812</v>
      </c>
      <c r="L49" s="46">
        <f t="shared" si="7"/>
        <v>658019646</v>
      </c>
      <c r="M49" s="46">
        <f t="shared" si="7"/>
        <v>190902557</v>
      </c>
      <c r="N49" s="46">
        <f t="shared" si="7"/>
        <v>-30551606</v>
      </c>
      <c r="O49" s="46">
        <f t="shared" si="7"/>
        <v>0</v>
      </c>
      <c r="P49" s="44" t="s">
        <v>68</v>
      </c>
    </row>
    <row r="50" spans="1:16" x14ac:dyDescent="0.25">
      <c r="A50" s="33" t="s">
        <v>69</v>
      </c>
      <c r="B50" s="25">
        <v>103256529</v>
      </c>
      <c r="C50" s="33">
        <v>45693</v>
      </c>
      <c r="D50" s="34">
        <v>-1992</v>
      </c>
      <c r="E50" s="68"/>
      <c r="F50" s="37"/>
      <c r="G50" s="37"/>
      <c r="H50" s="37"/>
      <c r="I50" s="37"/>
      <c r="J50" s="37"/>
      <c r="K50" s="105"/>
      <c r="L50" s="37"/>
      <c r="M50" s="37"/>
      <c r="N50" s="37"/>
      <c r="O50" s="69"/>
      <c r="P50" s="54" t="s">
        <v>70</v>
      </c>
    </row>
    <row r="51" spans="1:16" x14ac:dyDescent="0.25">
      <c r="A51" s="44" t="s">
        <v>71</v>
      </c>
      <c r="B51" s="106">
        <f>SUM(B49:B50)</f>
        <v>1584022404</v>
      </c>
      <c r="C51" s="106">
        <f>SUM(C49:C50)</f>
        <v>315761413</v>
      </c>
      <c r="D51" s="107">
        <f>SUM(D49:D50)</f>
        <v>-403569407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8" t="s">
        <v>72</v>
      </c>
    </row>
    <row r="52" spans="1:16" ht="18.75" x14ac:dyDescent="0.4">
      <c r="A52" s="24" t="s">
        <v>73</v>
      </c>
      <c r="B52" s="24"/>
      <c r="C52" s="24"/>
      <c r="D52" s="26"/>
      <c r="E52" s="27"/>
      <c r="F52" s="37"/>
      <c r="G52" s="37"/>
      <c r="H52" s="37"/>
      <c r="I52" s="24"/>
      <c r="J52" s="70"/>
      <c r="K52" s="105"/>
      <c r="L52" s="38"/>
      <c r="M52" s="38"/>
      <c r="N52" s="38"/>
      <c r="O52" s="69"/>
      <c r="P52" s="109" t="s">
        <v>74</v>
      </c>
    </row>
    <row r="53" spans="1:16" x14ac:dyDescent="0.25">
      <c r="A53" s="33" t="s">
        <v>21</v>
      </c>
      <c r="B53" s="25">
        <v>50310785</v>
      </c>
      <c r="C53" s="34">
        <v>29718350</v>
      </c>
      <c r="D53" s="25">
        <v>43595028</v>
      </c>
      <c r="E53" s="68">
        <v>42945615</v>
      </c>
      <c r="F53" s="37">
        <v>56496814</v>
      </c>
      <c r="G53" s="37">
        <v>60065961</v>
      </c>
      <c r="H53" s="37">
        <v>45107620</v>
      </c>
      <c r="I53" s="37">
        <v>39920164</v>
      </c>
      <c r="J53" s="37">
        <v>42769742</v>
      </c>
      <c r="K53" s="105">
        <v>43150518</v>
      </c>
      <c r="L53" s="37">
        <v>36255688</v>
      </c>
      <c r="M53" s="37">
        <v>60417154</v>
      </c>
      <c r="N53" s="37">
        <v>49117896</v>
      </c>
      <c r="O53" s="69" t="s">
        <v>15</v>
      </c>
      <c r="P53" s="54" t="s">
        <v>75</v>
      </c>
    </row>
    <row r="54" spans="1:16" x14ac:dyDescent="0.25">
      <c r="A54" s="33" t="s">
        <v>76</v>
      </c>
      <c r="B54" s="25">
        <v>20414910</v>
      </c>
      <c r="C54" s="34">
        <v>58306865</v>
      </c>
      <c r="D54" s="25">
        <v>42849250</v>
      </c>
      <c r="E54" s="68">
        <v>45137055</v>
      </c>
      <c r="F54" s="37">
        <v>29268169</v>
      </c>
      <c r="G54" s="37">
        <v>31407960</v>
      </c>
      <c r="H54" s="37">
        <v>24621875</v>
      </c>
      <c r="I54" s="37">
        <v>18013125</v>
      </c>
      <c r="J54" s="37">
        <v>13808500</v>
      </c>
      <c r="K54" s="105">
        <v>10427769</v>
      </c>
      <c r="L54" s="37">
        <v>78412258</v>
      </c>
      <c r="M54" s="37">
        <v>0</v>
      </c>
      <c r="N54" s="37">
        <v>0</v>
      </c>
      <c r="O54" s="69" t="s">
        <v>15</v>
      </c>
      <c r="P54" s="54" t="s">
        <v>77</v>
      </c>
    </row>
    <row r="55" spans="1:16" x14ac:dyDescent="0.25">
      <c r="A55" s="33" t="s">
        <v>23</v>
      </c>
      <c r="B55" s="25">
        <v>331173830</v>
      </c>
      <c r="C55" s="34">
        <v>1500000986</v>
      </c>
      <c r="D55" s="25">
        <v>953418083</v>
      </c>
      <c r="E55" s="68">
        <v>111960949</v>
      </c>
      <c r="F55" s="53" t="s">
        <v>15</v>
      </c>
      <c r="G55" s="53" t="s">
        <v>15</v>
      </c>
      <c r="H55" s="53" t="s">
        <v>15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54" t="s">
        <v>78</v>
      </c>
    </row>
    <row r="56" spans="1:16" x14ac:dyDescent="0.25">
      <c r="A56" s="33" t="s">
        <v>79</v>
      </c>
      <c r="B56" s="25">
        <v>10163400</v>
      </c>
      <c r="C56" s="34"/>
      <c r="D56" s="25">
        <v>23890000</v>
      </c>
      <c r="E56" s="68" t="s">
        <v>15</v>
      </c>
      <c r="F56" s="53" t="s">
        <v>15</v>
      </c>
      <c r="G56" s="53" t="s">
        <v>15</v>
      </c>
      <c r="H56" s="53" t="s">
        <v>15</v>
      </c>
      <c r="I56" s="53">
        <v>12000</v>
      </c>
      <c r="J56" s="37">
        <v>12500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54" t="s">
        <v>80</v>
      </c>
    </row>
    <row r="57" spans="1:16" x14ac:dyDescent="0.25">
      <c r="A57" s="33" t="s">
        <v>81</v>
      </c>
      <c r="B57" s="33"/>
      <c r="C57" s="34">
        <v>1110000</v>
      </c>
      <c r="D57" s="25"/>
      <c r="E57" s="68"/>
      <c r="F57" s="53"/>
      <c r="G57" s="53"/>
      <c r="H57" s="53"/>
      <c r="I57" s="53"/>
      <c r="J57" s="37"/>
      <c r="K57" s="37"/>
      <c r="L57" s="37"/>
      <c r="M57" s="37"/>
      <c r="N57" s="37"/>
      <c r="O57" s="37"/>
      <c r="P57" s="54"/>
    </row>
    <row r="58" spans="1:16" x14ac:dyDescent="0.25">
      <c r="A58" s="33" t="s">
        <v>25</v>
      </c>
      <c r="B58" s="33"/>
      <c r="C58" s="34"/>
      <c r="D58" s="25">
        <v>0</v>
      </c>
      <c r="E58" s="68" t="s">
        <v>15</v>
      </c>
      <c r="F58" s="53">
        <v>11127120</v>
      </c>
      <c r="G58" s="53" t="s">
        <v>15</v>
      </c>
      <c r="H58" s="53" t="s">
        <v>15</v>
      </c>
      <c r="I58" s="37">
        <v>18629904</v>
      </c>
      <c r="J58" s="53" t="s">
        <v>15</v>
      </c>
      <c r="K58" s="53" t="s">
        <v>15</v>
      </c>
      <c r="L58" s="53" t="s">
        <v>15</v>
      </c>
      <c r="M58" s="53" t="s">
        <v>15</v>
      </c>
      <c r="N58" s="53" t="s">
        <v>15</v>
      </c>
      <c r="O58" s="53" t="s">
        <v>15</v>
      </c>
      <c r="P58" s="54" t="s">
        <v>82</v>
      </c>
    </row>
    <row r="59" spans="1:16" x14ac:dyDescent="0.25">
      <c r="A59" s="33" t="s">
        <v>24</v>
      </c>
      <c r="B59" s="33"/>
      <c r="C59" s="34">
        <v>789370</v>
      </c>
      <c r="D59" s="25"/>
      <c r="E59" s="68"/>
      <c r="F59" s="53"/>
      <c r="G59" s="53"/>
      <c r="H59" s="53"/>
      <c r="I59" s="37"/>
      <c r="J59" s="53"/>
      <c r="K59" s="53"/>
      <c r="L59" s="53"/>
      <c r="M59" s="53"/>
      <c r="N59" s="53"/>
      <c r="O59" s="53"/>
      <c r="P59" s="54"/>
    </row>
    <row r="60" spans="1:16" x14ac:dyDescent="0.25">
      <c r="A60" s="33" t="s">
        <v>83</v>
      </c>
      <c r="B60" s="33"/>
      <c r="C60" s="34">
        <v>83759446</v>
      </c>
      <c r="D60" s="25">
        <v>0</v>
      </c>
      <c r="E60" s="68"/>
      <c r="F60" s="53" t="s">
        <v>15</v>
      </c>
      <c r="G60" s="53" t="s">
        <v>15</v>
      </c>
      <c r="H60" s="37">
        <v>75380396</v>
      </c>
      <c r="I60" s="53" t="s">
        <v>15</v>
      </c>
      <c r="J60" s="53" t="s">
        <v>15</v>
      </c>
      <c r="K60" s="53" t="s">
        <v>15</v>
      </c>
      <c r="L60" s="53" t="s">
        <v>15</v>
      </c>
      <c r="M60" s="53" t="s">
        <v>15</v>
      </c>
      <c r="N60" s="53" t="s">
        <v>15</v>
      </c>
      <c r="O60" s="53" t="s">
        <v>15</v>
      </c>
      <c r="P60" s="54" t="s">
        <v>84</v>
      </c>
    </row>
    <row r="61" spans="1:16" x14ac:dyDescent="0.25">
      <c r="A61" s="33" t="s">
        <v>56</v>
      </c>
      <c r="B61" s="25">
        <v>418489602</v>
      </c>
      <c r="C61" s="34">
        <v>275921177</v>
      </c>
      <c r="D61" s="25">
        <v>0</v>
      </c>
      <c r="E61" s="68">
        <v>14720924</v>
      </c>
      <c r="F61" s="53" t="s">
        <v>15</v>
      </c>
      <c r="G61" s="53">
        <v>137871897</v>
      </c>
      <c r="H61" s="53" t="s">
        <v>15</v>
      </c>
      <c r="I61" s="53" t="s">
        <v>15</v>
      </c>
      <c r="J61" s="53" t="s">
        <v>15</v>
      </c>
      <c r="K61" s="53" t="s">
        <v>15</v>
      </c>
      <c r="L61" s="53" t="s">
        <v>15</v>
      </c>
      <c r="M61" s="53" t="s">
        <v>15</v>
      </c>
      <c r="N61" s="53" t="s">
        <v>15</v>
      </c>
      <c r="O61" s="53" t="s">
        <v>15</v>
      </c>
      <c r="P61" s="54"/>
    </row>
    <row r="62" spans="1:16" x14ac:dyDescent="0.25">
      <c r="A62" s="33" t="s">
        <v>85</v>
      </c>
      <c r="B62" s="25">
        <v>1274192828</v>
      </c>
      <c r="C62" s="34"/>
      <c r="D62" s="25">
        <v>0</v>
      </c>
      <c r="E62" s="68" t="s">
        <v>15</v>
      </c>
      <c r="F62" s="53">
        <v>394141957</v>
      </c>
      <c r="G62" s="53">
        <v>994193</v>
      </c>
      <c r="H62" s="37">
        <v>1484864</v>
      </c>
      <c r="I62" s="53" t="s">
        <v>15</v>
      </c>
      <c r="J62" s="53" t="s">
        <v>15</v>
      </c>
      <c r="K62" s="53" t="s">
        <v>15</v>
      </c>
      <c r="L62" s="53" t="s">
        <v>15</v>
      </c>
      <c r="M62" s="53" t="s">
        <v>15</v>
      </c>
      <c r="N62" s="53" t="s">
        <v>15</v>
      </c>
      <c r="O62" s="53" t="s">
        <v>15</v>
      </c>
      <c r="P62" s="54"/>
    </row>
    <row r="63" spans="1:16" ht="18.75" x14ac:dyDescent="0.4">
      <c r="A63" s="102" t="s">
        <v>86</v>
      </c>
      <c r="B63" s="88">
        <v>1749216</v>
      </c>
      <c r="C63" s="98">
        <v>1952425</v>
      </c>
      <c r="D63" s="39">
        <v>480445</v>
      </c>
      <c r="E63" s="41" t="s">
        <v>15</v>
      </c>
      <c r="F63" s="50">
        <v>331036</v>
      </c>
      <c r="G63" s="50">
        <v>251084007</v>
      </c>
      <c r="H63" s="38">
        <v>68145914</v>
      </c>
      <c r="I63" s="38">
        <v>108913226</v>
      </c>
      <c r="J63" s="38">
        <v>38662975</v>
      </c>
      <c r="K63" s="110">
        <v>15861308</v>
      </c>
      <c r="L63" s="38">
        <v>34098632</v>
      </c>
      <c r="M63" s="38">
        <f>-1427224</f>
        <v>-1427224</v>
      </c>
      <c r="N63" s="38">
        <v>4597237</v>
      </c>
      <c r="O63" s="50">
        <v>25525505</v>
      </c>
      <c r="P63" s="111" t="s">
        <v>87</v>
      </c>
    </row>
    <row r="64" spans="1:16" x14ac:dyDescent="0.25">
      <c r="A64" s="44" t="s">
        <v>88</v>
      </c>
      <c r="B64" s="45">
        <f t="shared" ref="B64:O64" si="8">SUM(B53:B63)</f>
        <v>2106494571</v>
      </c>
      <c r="C64" s="45">
        <f t="shared" si="8"/>
        <v>1951558619</v>
      </c>
      <c r="D64" s="45">
        <f t="shared" si="8"/>
        <v>1064232806</v>
      </c>
      <c r="E64" s="45">
        <f t="shared" si="8"/>
        <v>214764543</v>
      </c>
      <c r="F64" s="46">
        <f t="shared" si="8"/>
        <v>491365096</v>
      </c>
      <c r="G64" s="46">
        <f t="shared" si="8"/>
        <v>481424018</v>
      </c>
      <c r="H64" s="46">
        <f t="shared" si="8"/>
        <v>214740669</v>
      </c>
      <c r="I64" s="46">
        <f t="shared" si="8"/>
        <v>185488419</v>
      </c>
      <c r="J64" s="46">
        <f t="shared" si="8"/>
        <v>95253717</v>
      </c>
      <c r="K64" s="46">
        <f t="shared" si="8"/>
        <v>69439595</v>
      </c>
      <c r="L64" s="46">
        <f t="shared" si="8"/>
        <v>148766578</v>
      </c>
      <c r="M64" s="46">
        <f t="shared" si="8"/>
        <v>58989930</v>
      </c>
      <c r="N64" s="46">
        <f t="shared" si="8"/>
        <v>53715133</v>
      </c>
      <c r="O64" s="44">
        <f t="shared" si="8"/>
        <v>25525505</v>
      </c>
      <c r="P64" s="44"/>
    </row>
    <row r="65" spans="1:16" s="114" customFormat="1" x14ac:dyDescent="0.25">
      <c r="A65" s="24" t="s">
        <v>89</v>
      </c>
      <c r="B65" s="24"/>
      <c r="C65" s="24"/>
      <c r="D65" s="26"/>
      <c r="E65" s="27"/>
      <c r="F65" s="28"/>
      <c r="G65" s="112"/>
      <c r="H65" s="112"/>
      <c r="I65" s="112"/>
      <c r="J65" s="112"/>
      <c r="K65" s="112"/>
      <c r="L65" s="112"/>
      <c r="M65" s="112"/>
      <c r="N65" s="112"/>
      <c r="O65" s="113"/>
      <c r="P65" s="113"/>
    </row>
    <row r="66" spans="1:16" x14ac:dyDescent="0.25">
      <c r="A66" s="33" t="s">
        <v>90</v>
      </c>
      <c r="B66" s="25">
        <f>-409240222-18170329</f>
        <v>-427410551</v>
      </c>
      <c r="C66" s="34">
        <v>-387270570</v>
      </c>
      <c r="D66" s="34">
        <v>-33897042</v>
      </c>
      <c r="E66" s="68">
        <v>-30509261</v>
      </c>
      <c r="F66" s="37">
        <v>-27244906</v>
      </c>
      <c r="G66" s="37">
        <v>-27212204</v>
      </c>
      <c r="H66" s="37">
        <v>-24720224</v>
      </c>
      <c r="I66" s="37">
        <v>-10262679</v>
      </c>
      <c r="J66" s="37">
        <v>-14348456</v>
      </c>
      <c r="K66" s="37">
        <v>-19235416</v>
      </c>
      <c r="L66" s="37">
        <v>-8738410</v>
      </c>
      <c r="M66" s="37">
        <f>-9449489</f>
        <v>-9449489</v>
      </c>
      <c r="N66" s="37">
        <f>-40596887</f>
        <v>-40596887</v>
      </c>
      <c r="O66" s="53" t="s">
        <v>15</v>
      </c>
      <c r="P66" s="111" t="s">
        <v>91</v>
      </c>
    </row>
    <row r="67" spans="1:16" x14ac:dyDescent="0.25">
      <c r="A67" s="33" t="s">
        <v>92</v>
      </c>
      <c r="B67" s="25">
        <v>0</v>
      </c>
      <c r="C67" s="34"/>
      <c r="D67" s="34"/>
      <c r="E67" s="68" t="s">
        <v>15</v>
      </c>
      <c r="F67" s="53" t="s">
        <v>15</v>
      </c>
      <c r="G67" s="53" t="s">
        <v>15</v>
      </c>
      <c r="H67" s="37">
        <v>-288618</v>
      </c>
      <c r="I67" s="102" t="s">
        <v>15</v>
      </c>
      <c r="J67" s="102" t="s">
        <v>15</v>
      </c>
      <c r="K67" s="102" t="s">
        <v>15</v>
      </c>
      <c r="L67" s="102" t="s">
        <v>15</v>
      </c>
      <c r="M67" s="102" t="s">
        <v>15</v>
      </c>
      <c r="N67" s="102" t="s">
        <v>15</v>
      </c>
      <c r="O67" s="102" t="s">
        <v>15</v>
      </c>
      <c r="P67" s="111" t="s">
        <v>93</v>
      </c>
    </row>
    <row r="68" spans="1:16" x14ac:dyDescent="0.25">
      <c r="A68" s="33" t="s">
        <v>94</v>
      </c>
      <c r="B68" s="25">
        <v>-2506358</v>
      </c>
      <c r="C68" s="34">
        <v>-15658742</v>
      </c>
      <c r="D68" s="34">
        <v>-259617</v>
      </c>
      <c r="E68" s="68">
        <v>-2693589</v>
      </c>
      <c r="F68" s="53">
        <v>-6716363</v>
      </c>
      <c r="G68" s="53">
        <v>-8780806</v>
      </c>
      <c r="H68" s="37">
        <v>-26716</v>
      </c>
      <c r="I68" s="102" t="s">
        <v>15</v>
      </c>
      <c r="J68" s="102" t="s">
        <v>15</v>
      </c>
      <c r="K68" s="102" t="s">
        <v>15</v>
      </c>
      <c r="L68" s="102" t="s">
        <v>15</v>
      </c>
      <c r="M68" s="102" t="s">
        <v>15</v>
      </c>
      <c r="N68" s="102" t="s">
        <v>15</v>
      </c>
      <c r="O68" s="102" t="s">
        <v>15</v>
      </c>
      <c r="P68" s="111"/>
    </row>
    <row r="69" spans="1:16" x14ac:dyDescent="0.25">
      <c r="A69" s="33" t="s">
        <v>95</v>
      </c>
      <c r="B69" s="25">
        <v>0</v>
      </c>
      <c r="C69" s="34">
        <v>-14600000</v>
      </c>
      <c r="D69" s="34">
        <v>0</v>
      </c>
      <c r="E69" s="68">
        <v>-154988742</v>
      </c>
      <c r="F69" s="53" t="s">
        <v>15</v>
      </c>
      <c r="G69" s="53" t="s">
        <v>15</v>
      </c>
      <c r="H69" s="53" t="s">
        <v>15</v>
      </c>
      <c r="I69" s="53" t="s">
        <v>15</v>
      </c>
      <c r="J69" s="53" t="s">
        <v>15</v>
      </c>
      <c r="K69" s="53" t="s">
        <v>15</v>
      </c>
      <c r="L69" s="53" t="s">
        <v>15</v>
      </c>
      <c r="M69" s="53" t="s">
        <v>15</v>
      </c>
      <c r="N69" s="53" t="s">
        <v>15</v>
      </c>
      <c r="O69" s="53" t="s">
        <v>15</v>
      </c>
      <c r="P69" s="111"/>
    </row>
    <row r="70" spans="1:16" x14ac:dyDescent="0.25">
      <c r="A70" s="33" t="s">
        <v>96</v>
      </c>
      <c r="B70" s="25">
        <v>-7687500</v>
      </c>
      <c r="C70" s="34">
        <v>-3690000</v>
      </c>
      <c r="D70" s="34">
        <v>-1383750</v>
      </c>
      <c r="E70" s="68">
        <v>-1127500</v>
      </c>
      <c r="F70" s="53">
        <v>-2650000</v>
      </c>
      <c r="G70" s="53" t="s">
        <v>15</v>
      </c>
      <c r="H70" s="53" t="s">
        <v>15</v>
      </c>
      <c r="I70" s="53" t="s">
        <v>15</v>
      </c>
      <c r="J70" s="53" t="s">
        <v>15</v>
      </c>
      <c r="K70" s="53" t="s">
        <v>15</v>
      </c>
      <c r="L70" s="53" t="s">
        <v>15</v>
      </c>
      <c r="M70" s="53" t="s">
        <v>15</v>
      </c>
      <c r="N70" s="53" t="s">
        <v>15</v>
      </c>
      <c r="O70" s="53" t="s">
        <v>15</v>
      </c>
      <c r="P70" s="111"/>
    </row>
    <row r="71" spans="1:16" x14ac:dyDescent="0.25">
      <c r="A71" s="33" t="s">
        <v>97</v>
      </c>
      <c r="B71" s="25">
        <v>0</v>
      </c>
      <c r="C71" s="34">
        <v>-85459</v>
      </c>
      <c r="D71" s="34"/>
      <c r="E71" s="52" t="s">
        <v>15</v>
      </c>
      <c r="F71" s="102" t="s">
        <v>15</v>
      </c>
      <c r="G71" s="102" t="s">
        <v>15</v>
      </c>
      <c r="H71" s="102" t="s">
        <v>15</v>
      </c>
      <c r="I71" s="102" t="s">
        <v>15</v>
      </c>
      <c r="J71" s="53" t="s">
        <v>15</v>
      </c>
      <c r="K71" s="37">
        <v>-171194532</v>
      </c>
      <c r="L71" s="53">
        <v>0</v>
      </c>
      <c r="M71" s="37">
        <v>0</v>
      </c>
      <c r="N71" s="37">
        <v>0</v>
      </c>
      <c r="O71" s="53" t="s">
        <v>15</v>
      </c>
      <c r="P71" s="111" t="s">
        <v>98</v>
      </c>
    </row>
    <row r="72" spans="1:16" x14ac:dyDescent="0.25">
      <c r="A72" s="33" t="s">
        <v>99</v>
      </c>
      <c r="B72" s="25"/>
      <c r="C72" s="34"/>
      <c r="D72" s="34"/>
      <c r="E72" s="52" t="s">
        <v>15</v>
      </c>
      <c r="F72" s="102" t="s">
        <v>15</v>
      </c>
      <c r="G72" s="102" t="s">
        <v>15</v>
      </c>
      <c r="H72" s="102" t="s">
        <v>15</v>
      </c>
      <c r="I72" s="102" t="s">
        <v>15</v>
      </c>
      <c r="J72" s="53" t="s">
        <v>15</v>
      </c>
      <c r="K72" s="37">
        <v>-25000000</v>
      </c>
      <c r="L72" s="53">
        <v>0</v>
      </c>
      <c r="M72" s="37">
        <v>0</v>
      </c>
      <c r="N72" s="37">
        <v>0</v>
      </c>
      <c r="O72" s="53" t="s">
        <v>15</v>
      </c>
      <c r="P72" s="111" t="s">
        <v>100</v>
      </c>
    </row>
    <row r="73" spans="1:16" x14ac:dyDescent="0.25">
      <c r="A73" s="33" t="s">
        <v>101</v>
      </c>
      <c r="B73" s="25"/>
      <c r="C73" s="34"/>
      <c r="D73" s="34"/>
      <c r="E73" s="52" t="s">
        <v>15</v>
      </c>
      <c r="F73" s="102" t="s">
        <v>15</v>
      </c>
      <c r="G73" s="102" t="s">
        <v>15</v>
      </c>
      <c r="H73" s="102" t="s">
        <v>15</v>
      </c>
      <c r="I73" s="102" t="s">
        <v>15</v>
      </c>
      <c r="J73" s="53" t="s">
        <v>15</v>
      </c>
      <c r="K73" s="37">
        <v>0</v>
      </c>
      <c r="L73" s="53">
        <v>0</v>
      </c>
      <c r="M73" s="37">
        <v>0</v>
      </c>
      <c r="N73" s="37">
        <v>0</v>
      </c>
      <c r="O73" s="37">
        <f>-30013600</f>
        <v>-30013600</v>
      </c>
      <c r="P73" s="111" t="s">
        <v>102</v>
      </c>
    </row>
    <row r="74" spans="1:16" s="64" customFormat="1" x14ac:dyDescent="0.25">
      <c r="A74" s="81" t="s">
        <v>103</v>
      </c>
      <c r="B74" s="82">
        <v>-46000000</v>
      </c>
      <c r="C74" s="83"/>
      <c r="D74" s="83"/>
      <c r="E74" s="115"/>
      <c r="F74" s="116"/>
      <c r="G74" s="116"/>
      <c r="H74" s="116"/>
      <c r="I74" s="116"/>
      <c r="J74" s="86"/>
      <c r="K74" s="87"/>
      <c r="L74" s="86"/>
      <c r="M74" s="87"/>
      <c r="N74" s="87"/>
      <c r="O74" s="87"/>
      <c r="P74" s="63"/>
    </row>
    <row r="75" spans="1:16" x14ac:dyDescent="0.25">
      <c r="A75" s="33" t="s">
        <v>104</v>
      </c>
      <c r="B75" s="25">
        <v>-15423907</v>
      </c>
      <c r="C75" s="34"/>
      <c r="D75" s="34"/>
      <c r="E75" s="52"/>
      <c r="F75" s="102"/>
      <c r="G75" s="102"/>
      <c r="H75" s="102"/>
      <c r="I75" s="102"/>
      <c r="J75" s="53"/>
      <c r="K75" s="37"/>
      <c r="L75" s="53"/>
      <c r="M75" s="37"/>
      <c r="N75" s="37"/>
      <c r="O75" s="37"/>
      <c r="P75" s="111"/>
    </row>
    <row r="76" spans="1:16" s="64" customFormat="1" ht="18.75" x14ac:dyDescent="0.4">
      <c r="A76" s="81" t="s">
        <v>105</v>
      </c>
      <c r="B76" s="82">
        <v>-30990090</v>
      </c>
      <c r="C76" s="83"/>
      <c r="D76" s="59">
        <v>-83759446</v>
      </c>
      <c r="E76" s="60" t="s">
        <v>15</v>
      </c>
      <c r="F76" s="62" t="s">
        <v>15</v>
      </c>
      <c r="G76" s="62" t="s">
        <v>15</v>
      </c>
      <c r="H76" s="62" t="s">
        <v>15</v>
      </c>
      <c r="I76" s="56">
        <v>-7923995</v>
      </c>
      <c r="J76" s="56">
        <v>-35362910</v>
      </c>
      <c r="K76" s="117">
        <v>5893030</v>
      </c>
      <c r="L76" s="56">
        <v>21834086</v>
      </c>
      <c r="M76" s="56">
        <f>-25009721</f>
        <v>-25009721</v>
      </c>
      <c r="N76" s="56">
        <f>-34810886</f>
        <v>-34810886</v>
      </c>
      <c r="O76" s="62" t="s">
        <v>15</v>
      </c>
      <c r="P76" s="63" t="s">
        <v>84</v>
      </c>
    </row>
    <row r="77" spans="1:16" x14ac:dyDescent="0.25">
      <c r="A77" s="44" t="s">
        <v>106</v>
      </c>
      <c r="B77" s="45">
        <f>SUM(B66:B76)</f>
        <v>-530018406</v>
      </c>
      <c r="C77" s="45">
        <f>SUM(C66:C76)</f>
        <v>-421304771</v>
      </c>
      <c r="D77" s="45">
        <f>SUM(D66:D76)</f>
        <v>-119299855</v>
      </c>
      <c r="E77" s="45">
        <f>SUM(E66:E76)</f>
        <v>-189319092</v>
      </c>
      <c r="F77" s="46">
        <f t="shared" ref="F77:O77" si="9">SUM(F66:F76)</f>
        <v>-36611269</v>
      </c>
      <c r="G77" s="46">
        <f t="shared" si="9"/>
        <v>-35993010</v>
      </c>
      <c r="H77" s="46">
        <f t="shared" si="9"/>
        <v>-25035558</v>
      </c>
      <c r="I77" s="46">
        <f t="shared" si="9"/>
        <v>-18186674</v>
      </c>
      <c r="J77" s="46">
        <f t="shared" si="9"/>
        <v>-49711366</v>
      </c>
      <c r="K77" s="46">
        <f t="shared" si="9"/>
        <v>-209536918</v>
      </c>
      <c r="L77" s="46">
        <f t="shared" si="9"/>
        <v>13095676</v>
      </c>
      <c r="M77" s="46">
        <f t="shared" si="9"/>
        <v>-34459210</v>
      </c>
      <c r="N77" s="46">
        <f t="shared" si="9"/>
        <v>-75407773</v>
      </c>
      <c r="O77" s="46">
        <f t="shared" si="9"/>
        <v>-30013600</v>
      </c>
      <c r="P77" s="44"/>
    </row>
    <row r="78" spans="1:16" x14ac:dyDescent="0.25">
      <c r="A78" s="44" t="s">
        <v>107</v>
      </c>
      <c r="B78" s="45">
        <f>B64+B77</f>
        <v>1576476165</v>
      </c>
      <c r="C78" s="45">
        <f>C64+C77</f>
        <v>1530253848</v>
      </c>
      <c r="D78" s="45">
        <f>D64+D77</f>
        <v>944932951</v>
      </c>
      <c r="E78" s="45">
        <f>E64+E77</f>
        <v>25445451</v>
      </c>
      <c r="F78" s="46">
        <f t="shared" ref="F78:O78" si="10">F64+F77</f>
        <v>454753827</v>
      </c>
      <c r="G78" s="46">
        <f t="shared" si="10"/>
        <v>445431008</v>
      </c>
      <c r="H78" s="46">
        <f t="shared" si="10"/>
        <v>189705111</v>
      </c>
      <c r="I78" s="46">
        <f t="shared" si="10"/>
        <v>167301745</v>
      </c>
      <c r="J78" s="46">
        <f t="shared" si="10"/>
        <v>45542351</v>
      </c>
      <c r="K78" s="46">
        <f t="shared" si="10"/>
        <v>-140097323</v>
      </c>
      <c r="L78" s="46">
        <f t="shared" si="10"/>
        <v>161862254</v>
      </c>
      <c r="M78" s="46">
        <f t="shared" si="10"/>
        <v>24530720</v>
      </c>
      <c r="N78" s="46">
        <f t="shared" si="10"/>
        <v>-21692640</v>
      </c>
      <c r="O78" s="46">
        <f t="shared" si="10"/>
        <v>-4488095</v>
      </c>
      <c r="P78" s="108" t="s">
        <v>108</v>
      </c>
    </row>
    <row r="79" spans="1:16" x14ac:dyDescent="0.25">
      <c r="A79" s="33" t="s">
        <v>109</v>
      </c>
      <c r="B79" s="25">
        <v>-932161</v>
      </c>
      <c r="C79" s="33"/>
      <c r="D79" s="34">
        <v>-163361715</v>
      </c>
      <c r="E79" s="68">
        <v>-23611897</v>
      </c>
      <c r="F79" s="37">
        <v>-4985765</v>
      </c>
      <c r="G79" s="37">
        <v>-27786121</v>
      </c>
      <c r="H79" s="102" t="s">
        <v>15</v>
      </c>
      <c r="I79" s="37">
        <v>-5067855</v>
      </c>
      <c r="J79" s="37">
        <v>-8215247</v>
      </c>
      <c r="K79" s="37">
        <v>-2725390</v>
      </c>
      <c r="L79" s="37">
        <v>-21037103</v>
      </c>
      <c r="M79" s="37">
        <f>-6530658</f>
        <v>-6530658</v>
      </c>
      <c r="N79" s="37">
        <f>-1067330</f>
        <v>-1067330</v>
      </c>
      <c r="O79" s="37">
        <f>-2928418</f>
        <v>-2928418</v>
      </c>
      <c r="P79" s="111" t="s">
        <v>110</v>
      </c>
    </row>
    <row r="80" spans="1:16" x14ac:dyDescent="0.25">
      <c r="A80" s="33" t="s">
        <v>111</v>
      </c>
      <c r="B80" s="25"/>
      <c r="C80" s="34">
        <v>180221333</v>
      </c>
      <c r="D80" s="52" t="s">
        <v>15</v>
      </c>
      <c r="E80" s="52" t="s">
        <v>15</v>
      </c>
      <c r="F80" s="37">
        <v>3961034</v>
      </c>
      <c r="G80" s="102" t="s">
        <v>15</v>
      </c>
      <c r="H80" s="102" t="s">
        <v>15</v>
      </c>
      <c r="I80" s="102" t="s">
        <v>15</v>
      </c>
      <c r="J80" s="102" t="s">
        <v>15</v>
      </c>
      <c r="K80" s="102" t="s">
        <v>15</v>
      </c>
      <c r="L80" s="102" t="s">
        <v>15</v>
      </c>
      <c r="M80" s="102" t="s">
        <v>15</v>
      </c>
      <c r="N80" s="102" t="s">
        <v>15</v>
      </c>
      <c r="O80" s="102" t="s">
        <v>15</v>
      </c>
      <c r="P80" s="111"/>
    </row>
    <row r="81" spans="1:16" ht="18.75" x14ac:dyDescent="0.4">
      <c r="A81" s="33" t="s">
        <v>112</v>
      </c>
      <c r="B81" s="41">
        <v>-2078752</v>
      </c>
      <c r="C81" s="41"/>
      <c r="D81" s="41" t="s">
        <v>15</v>
      </c>
      <c r="E81" s="41" t="s">
        <v>15</v>
      </c>
      <c r="F81" s="50">
        <v>-7422956</v>
      </c>
      <c r="G81" s="50" t="s">
        <v>15</v>
      </c>
      <c r="H81" s="50" t="s">
        <v>15</v>
      </c>
      <c r="I81" s="38">
        <v>-2102180</v>
      </c>
      <c r="J81" s="50" t="s">
        <v>15</v>
      </c>
      <c r="K81" s="50" t="s">
        <v>15</v>
      </c>
      <c r="L81" s="50" t="s">
        <v>15</v>
      </c>
      <c r="M81" s="50" t="s">
        <v>15</v>
      </c>
      <c r="N81" s="50" t="s">
        <v>15</v>
      </c>
      <c r="O81" s="50" t="s">
        <v>15</v>
      </c>
      <c r="P81" s="111" t="s">
        <v>113</v>
      </c>
    </row>
    <row r="82" spans="1:16" x14ac:dyDescent="0.25">
      <c r="A82" s="44" t="s">
        <v>114</v>
      </c>
      <c r="B82" s="45">
        <f>SUM(B78:B81)</f>
        <v>1573465252</v>
      </c>
      <c r="C82" s="45">
        <f>SUM(C78:C81)</f>
        <v>1710475181</v>
      </c>
      <c r="D82" s="45">
        <f>SUM(D78:D81)</f>
        <v>781571236</v>
      </c>
      <c r="E82" s="45">
        <f>SUM(E78:E81)</f>
        <v>1833554</v>
      </c>
      <c r="F82" s="46">
        <f>SUM(F78:F81)</f>
        <v>446306140</v>
      </c>
      <c r="G82" s="46">
        <v>417644887</v>
      </c>
      <c r="H82" s="46">
        <f>SUM(H78:H81)</f>
        <v>189705111</v>
      </c>
      <c r="I82" s="46">
        <f>SUM(I78:I81)</f>
        <v>160131710</v>
      </c>
      <c r="J82" s="47">
        <f>SUM(J78:J79)</f>
        <v>37327104</v>
      </c>
      <c r="K82" s="47">
        <f t="shared" ref="K82:O82" si="11">SUM(K78:K79)</f>
        <v>-142822713</v>
      </c>
      <c r="L82" s="47">
        <f t="shared" si="11"/>
        <v>140825151</v>
      </c>
      <c r="M82" s="47">
        <f t="shared" si="11"/>
        <v>18000062</v>
      </c>
      <c r="N82" s="47">
        <f t="shared" si="11"/>
        <v>-22759970</v>
      </c>
      <c r="O82" s="47">
        <f t="shared" si="11"/>
        <v>-7416513</v>
      </c>
      <c r="P82" s="108" t="s">
        <v>115</v>
      </c>
    </row>
    <row r="83" spans="1:16" x14ac:dyDescent="0.25">
      <c r="A83" s="92" t="s">
        <v>69</v>
      </c>
      <c r="B83" s="100">
        <v>1773069452</v>
      </c>
      <c r="C83" s="92">
        <v>-351325824</v>
      </c>
      <c r="D83" s="118">
        <v>-949553505</v>
      </c>
      <c r="E83" s="118">
        <v>1890664288</v>
      </c>
      <c r="F83" s="119">
        <v>294294505</v>
      </c>
      <c r="G83" s="37">
        <v>58369802</v>
      </c>
      <c r="H83" s="37">
        <v>-16478365</v>
      </c>
      <c r="I83" s="37">
        <v>151525902</v>
      </c>
      <c r="J83" s="120">
        <v>-10668727</v>
      </c>
      <c r="K83" s="120">
        <v>-29495118</v>
      </c>
      <c r="L83" s="102" t="s">
        <v>15</v>
      </c>
      <c r="M83" s="102" t="s">
        <v>15</v>
      </c>
      <c r="N83" s="102" t="s">
        <v>15</v>
      </c>
      <c r="O83" s="102" t="s">
        <v>15</v>
      </c>
      <c r="P83" s="121" t="s">
        <v>70</v>
      </c>
    </row>
    <row r="84" spans="1:16" x14ac:dyDescent="0.25">
      <c r="A84" s="44" t="s">
        <v>116</v>
      </c>
      <c r="B84" s="45">
        <f>B82+B83</f>
        <v>3346534704</v>
      </c>
      <c r="C84" s="45">
        <f>C82+C83</f>
        <v>1359149357</v>
      </c>
      <c r="D84" s="45">
        <f>D82+D83</f>
        <v>-167982269</v>
      </c>
      <c r="E84" s="45">
        <f>E82+E83</f>
        <v>1892497842</v>
      </c>
      <c r="F84" s="46">
        <f>F82+F83</f>
        <v>740600645</v>
      </c>
      <c r="G84" s="46">
        <v>476014689</v>
      </c>
      <c r="H84" s="46">
        <f>SUM(H82:H83)</f>
        <v>173226746</v>
      </c>
      <c r="I84" s="46">
        <f>SUM(I82:I83)</f>
        <v>311657612</v>
      </c>
      <c r="J84" s="47">
        <f t="shared" ref="J84:O84" si="12">SUM(J82:J83)</f>
        <v>26658377</v>
      </c>
      <c r="K84" s="47">
        <f t="shared" si="12"/>
        <v>-172317831</v>
      </c>
      <c r="L84" s="47">
        <f t="shared" si="12"/>
        <v>140825151</v>
      </c>
      <c r="M84" s="47">
        <f t="shared" si="12"/>
        <v>18000062</v>
      </c>
      <c r="N84" s="47">
        <f t="shared" si="12"/>
        <v>-22759970</v>
      </c>
      <c r="O84" s="47">
        <f t="shared" si="12"/>
        <v>-7416513</v>
      </c>
      <c r="P84" s="108" t="s">
        <v>117</v>
      </c>
    </row>
    <row r="85" spans="1:16" x14ac:dyDescent="0.25">
      <c r="A85" s="33"/>
      <c r="B85" s="33"/>
      <c r="C85" s="33"/>
      <c r="D85" s="52"/>
      <c r="E85" s="52"/>
      <c r="F85" s="30"/>
      <c r="G85" s="37"/>
      <c r="H85" s="37"/>
      <c r="I85" s="33"/>
      <c r="J85" s="33"/>
      <c r="K85" s="105"/>
      <c r="L85" s="33"/>
      <c r="M85" s="33"/>
      <c r="N85" s="33"/>
      <c r="O85" s="33"/>
      <c r="P85" s="33"/>
    </row>
    <row r="86" spans="1:16" x14ac:dyDescent="0.25">
      <c r="A86" s="122" t="s">
        <v>118</v>
      </c>
      <c r="B86" s="123">
        <f>B82/40000000</f>
        <v>39.336631300000001</v>
      </c>
      <c r="C86" s="122">
        <v>57.02</v>
      </c>
      <c r="D86" s="124">
        <v>26.12</v>
      </c>
      <c r="E86" s="124">
        <v>0.09</v>
      </c>
      <c r="F86" s="125">
        <v>22.32</v>
      </c>
      <c r="G86" s="126">
        <v>20.88</v>
      </c>
      <c r="H86" s="126">
        <f>H82/20000000</f>
        <v>9.4852555499999998</v>
      </c>
      <c r="I86" s="126">
        <f>I82/20000000</f>
        <v>8.0065854999999999</v>
      </c>
      <c r="J86" s="127">
        <v>1.87</v>
      </c>
      <c r="K86" s="127">
        <v>-7.14</v>
      </c>
      <c r="L86" s="127">
        <v>35.21</v>
      </c>
      <c r="M86" s="127">
        <v>4.5</v>
      </c>
      <c r="N86" s="127">
        <f>-5.69</f>
        <v>-5.69</v>
      </c>
      <c r="O86" s="127">
        <f>-1.85</f>
        <v>-1.85</v>
      </c>
      <c r="P86" s="122" t="s">
        <v>119</v>
      </c>
    </row>
    <row r="87" spans="1:16" x14ac:dyDescent="0.25">
      <c r="K87" s="131"/>
      <c r="M87" s="132"/>
    </row>
    <row r="88" spans="1:16" x14ac:dyDescent="0.25">
      <c r="A88" s="133" t="s">
        <v>120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4"/>
      <c r="N88" s="135" t="s">
        <v>121</v>
      </c>
      <c r="O88" s="135"/>
      <c r="P88" s="135"/>
    </row>
    <row r="89" spans="1:16" x14ac:dyDescent="0.25">
      <c r="O89" s="135" t="s">
        <v>122</v>
      </c>
      <c r="P89" s="135"/>
    </row>
    <row r="92" spans="1:16" hidden="1" x14ac:dyDescent="0.25">
      <c r="G92" s="136"/>
      <c r="H92" s="136"/>
      <c r="I92" s="136"/>
      <c r="J92" s="136">
        <f>I66+I76</f>
        <v>-18186674</v>
      </c>
    </row>
    <row r="94" spans="1:16" x14ac:dyDescent="0.25">
      <c r="E94" s="128"/>
      <c r="F94" s="128"/>
      <c r="G94" s="128"/>
      <c r="H94" s="128"/>
      <c r="I94" s="136"/>
    </row>
    <row r="95" spans="1:16" x14ac:dyDescent="0.25">
      <c r="E95" s="128"/>
      <c r="F95" s="128"/>
      <c r="G95" s="128"/>
      <c r="H95" s="128"/>
    </row>
    <row r="96" spans="1:16" x14ac:dyDescent="0.25">
      <c r="E96" s="128"/>
      <c r="F96" s="128"/>
      <c r="G96" s="128"/>
      <c r="H96" s="128"/>
    </row>
    <row r="97" spans="5:8" x14ac:dyDescent="0.25">
      <c r="E97" s="128"/>
      <c r="F97" s="128"/>
      <c r="G97" s="128"/>
      <c r="H97" s="128"/>
    </row>
    <row r="98" spans="5:8" x14ac:dyDescent="0.25">
      <c r="E98" s="128"/>
      <c r="F98" s="128"/>
      <c r="G98" s="128"/>
      <c r="H98" s="128"/>
    </row>
    <row r="99" spans="5:8" x14ac:dyDescent="0.25">
      <c r="E99" s="128"/>
      <c r="F99" s="128"/>
      <c r="G99" s="128"/>
      <c r="H99" s="128"/>
    </row>
    <row r="100" spans="5:8" x14ac:dyDescent="0.25">
      <c r="E100" s="128"/>
      <c r="F100" s="128"/>
      <c r="G100" s="128"/>
      <c r="H100" s="128"/>
    </row>
    <row r="101" spans="5:8" x14ac:dyDescent="0.25">
      <c r="E101" s="128"/>
      <c r="F101" s="128"/>
      <c r="G101" s="128"/>
      <c r="H101" s="128"/>
    </row>
    <row r="102" spans="5:8" x14ac:dyDescent="0.25">
      <c r="E102" s="128"/>
      <c r="F102" s="128"/>
      <c r="G102" s="128"/>
      <c r="H102" s="128"/>
    </row>
    <row r="103" spans="5:8" x14ac:dyDescent="0.25">
      <c r="E103" s="128"/>
      <c r="F103" s="128"/>
      <c r="G103" s="128"/>
      <c r="H103" s="128"/>
    </row>
    <row r="104" spans="5:8" x14ac:dyDescent="0.25">
      <c r="E104" s="128"/>
      <c r="F104" s="128"/>
      <c r="G104" s="128"/>
      <c r="H104" s="128"/>
    </row>
    <row r="105" spans="5:8" x14ac:dyDescent="0.25">
      <c r="E105" s="128"/>
      <c r="F105" s="128"/>
      <c r="G105" s="128"/>
      <c r="H105" s="128"/>
    </row>
    <row r="106" spans="5:8" x14ac:dyDescent="0.25">
      <c r="E106" s="128"/>
      <c r="F106" s="128"/>
      <c r="G106" s="128"/>
      <c r="H106" s="128"/>
    </row>
    <row r="107" spans="5:8" x14ac:dyDescent="0.25">
      <c r="E107" s="128"/>
      <c r="F107" s="128"/>
      <c r="G107" s="128"/>
      <c r="H107" s="128"/>
    </row>
    <row r="108" spans="5:8" x14ac:dyDescent="0.25">
      <c r="E108" s="128"/>
      <c r="F108" s="128"/>
      <c r="G108" s="128"/>
      <c r="H108" s="128"/>
    </row>
    <row r="110" spans="5:8" x14ac:dyDescent="0.25">
      <c r="F110" s="6"/>
      <c r="G110" s="136"/>
    </row>
  </sheetData>
  <mergeCells count="3">
    <mergeCell ref="A88:L88"/>
    <mergeCell ref="N88:P88"/>
    <mergeCell ref="O89:P89"/>
  </mergeCells>
  <pageMargins left="0.14000000000000001" right="0.15" top="0.74803149606299213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2022-01-06T12:18:59Z</dcterms:created>
  <dcterms:modified xsi:type="dcterms:W3CDTF">2022-01-06T12:20:06Z</dcterms:modified>
</cp:coreProperties>
</file>